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b7f17190622217/Dokument/Martin/CARC/Vagndeklarationer/"/>
    </mc:Choice>
  </mc:AlternateContent>
  <xr:revisionPtr revIDLastSave="21" documentId="8_{44266EB3-DE9D-4B12-9AE1-B66291690C1D}" xr6:coauthVersionLast="47" xr6:coauthVersionMax="47" xr10:uidLastSave="{F94454DD-C810-48B0-8058-C4187AA5B804}"/>
  <workbookProtection workbookAlgorithmName="SHA-512" workbookHashValue="uivjsKYqcEkPHVfwBmmtm+6ZZ9BtOv8NqIPc3NYu39YKPYqh6GLCSAPt9W5HmtJO4wHNzWuAR85hmnwwLYIJRw==" workbookSaltValue="AX4qWrbZa4xuOCTJ7ja7Vw==" workbookSpinCount="100000" lockStructure="1"/>
  <bookViews>
    <workbookView xWindow="-105" yWindow="0" windowWidth="13110" windowHeight="20985" xr2:uid="{BCE53F39-A9EC-4961-9383-03255BA3DD1F}"/>
  </bookViews>
  <sheets>
    <sheet name="Klassningskalkyl" sheetId="1" r:id="rId1"/>
    <sheet name="Val" sheetId="2" state="hidden" r:id="rId2"/>
    <sheet name="Variabler" sheetId="5" state="hidden" r:id="rId3"/>
    <sheet name="Beräkning" sheetId="6" state="hidden" r:id="rId4"/>
    <sheet name="Jämförelse" sheetId="7" state="hidden" r:id="rId5"/>
  </sheets>
  <externalReferences>
    <externalReference r:id="rId6"/>
  </externalReferences>
  <definedNames>
    <definedName name="_185" localSheetId="3">[1]Variabler!$C$4</definedName>
    <definedName name="_185" localSheetId="4">[1]Variabler!$C$4</definedName>
    <definedName name="_185">Variabler!$C$4</definedName>
    <definedName name="_195" localSheetId="3">[1]Variabler!$C$5</definedName>
    <definedName name="_195" localSheetId="4">[1]Variabler!$C$5</definedName>
    <definedName name="_195">Variabler!$C$5</definedName>
    <definedName name="_205" localSheetId="3">[1]Variabler!$C$6</definedName>
    <definedName name="_205" localSheetId="4">[1]Variabler!$C$6</definedName>
    <definedName name="_205">Variabler!$C$6</definedName>
    <definedName name="_215" localSheetId="3">[1]Variabler!$C$7</definedName>
    <definedName name="_215" localSheetId="4">[1]Variabler!$C$7</definedName>
    <definedName name="_215">Variabler!$C$7</definedName>
    <definedName name="_225" localSheetId="3">[1]Variabler!$C$8</definedName>
    <definedName name="_225" localSheetId="4">[1]Variabler!$C$8</definedName>
    <definedName name="_225">Variabler!$C$8</definedName>
    <definedName name="_235" localSheetId="3">[1]Variabler!$C$9</definedName>
    <definedName name="_235" localSheetId="4">[1]Variabler!$C$9</definedName>
    <definedName name="_235">Variabler!$C$9</definedName>
    <definedName name="_245" localSheetId="3">[1]Variabler!$C$10</definedName>
    <definedName name="_245" localSheetId="4">[1]Variabler!$C$10</definedName>
    <definedName name="_245">Variabler!$C$10</definedName>
    <definedName name="_255" localSheetId="3">[1]Variabler!$C$11</definedName>
    <definedName name="_255" localSheetId="4">[1]Variabler!$C$11</definedName>
    <definedName name="_255">Variabler!$C$11</definedName>
    <definedName name="_265" localSheetId="3">[1]Variabler!$C$12</definedName>
    <definedName name="_265" localSheetId="4">[1]Variabler!$C$12</definedName>
    <definedName name="_265">Variabler!$C$12</definedName>
    <definedName name="_275" localSheetId="3">[1]Variabler!$C$13</definedName>
    <definedName name="_275" localSheetId="4">[1]Variabler!$C$13</definedName>
    <definedName name="_275">Variabler!$C$13</definedName>
    <definedName name="_285" localSheetId="3">[1]Variabler!$C$14</definedName>
    <definedName name="_285" localSheetId="4">[1]Variabler!$C$14</definedName>
    <definedName name="_285">Variabler!$C$14</definedName>
    <definedName name="_295">Variabler!$C$15</definedName>
    <definedName name="_xlnm._FilterDatabase" localSheetId="4" hidden="1">Jämförelse!$A$2:$BA$82</definedName>
    <definedName name="ABS" localSheetId="3">[1]Variabler!$C$26</definedName>
    <definedName name="ABS" localSheetId="4">[1]Variabler!$C$26</definedName>
    <definedName name="ABS">Variabler!$C$26</definedName>
    <definedName name="ABS_urspr">'[1]Variabler ursprung'!$C$26</definedName>
    <definedName name="Avdrag_mindre" localSheetId="3">[1]Variabler!$C$22</definedName>
    <definedName name="Avdrag_mindre" localSheetId="4">[1]Variabler!$C$22</definedName>
    <definedName name="Avdrag_mindre">Variabler!$C$22</definedName>
    <definedName name="Avdrag_mindre_urspr">'[1]Variabler ursprung'!$C$22</definedName>
    <definedName name="AWD" localSheetId="3">[1]Variabler!$F$10</definedName>
    <definedName name="AWD" localSheetId="4">[1]Variabler!$F$10</definedName>
    <definedName name="AWD">Variabler!$F$10</definedName>
    <definedName name="AWD_urspr">'[1]Variabler ursprung'!$F$10</definedName>
    <definedName name="BB">Variabler!$F$13</definedName>
    <definedName name="BD">Variabler!$F$16</definedName>
    <definedName name="BE">Variabler!$F$15</definedName>
    <definedName name="BR">Variabler!$F$14</definedName>
    <definedName name="Diesel" localSheetId="3">[1]Variabler!$F$16</definedName>
    <definedName name="Diesel" localSheetId="4">[1]Variabler!$F$16</definedName>
    <definedName name="Diesel">Variabler!$F$16</definedName>
    <definedName name="Diesel_urspr">'[1]Variabler ursprung'!$F$16</definedName>
    <definedName name="Diffuser" localSheetId="3">[1]Variabler!$C$34</definedName>
    <definedName name="Diffuser" localSheetId="4">[1]Variabler!$C$34</definedName>
    <definedName name="Diffuser">Variabler!$C$35</definedName>
    <definedName name="E85_" localSheetId="3">[1]Variabler!$F$15</definedName>
    <definedName name="E85_" localSheetId="4">[1]Variabler!$F$15</definedName>
    <definedName name="E85_">Variabler!$F$15</definedName>
    <definedName name="E85_urspr">'[1]Variabler ursprung'!$F$15</definedName>
    <definedName name="Ej_diffbroms" localSheetId="3">[1]Variabler!$C$25</definedName>
    <definedName name="Ej_diffbroms" localSheetId="4">[1]Variabler!$C$25</definedName>
    <definedName name="Ej_diffbroms">Variabler!$C$25</definedName>
    <definedName name="Ej_diffbroms_urspr">'[1]Variabler ursprung'!$K$3</definedName>
    <definedName name="Ej_original_grenrör" localSheetId="3">[1]Variabler!$K$13</definedName>
    <definedName name="Ej_original_grenrör" localSheetId="4">[1]Variabler!$K$13</definedName>
    <definedName name="Ej_original_grenrör">Variabler!$K$13</definedName>
    <definedName name="Ej_original_grenrör_urspr">'[1]Variabler ursprung'!$K$12</definedName>
    <definedName name="Fabriksbyggd_homologerad_motor" localSheetId="3">[1]Variabler!$K$3</definedName>
    <definedName name="Fabriksbyggd_homologerad_motor" localSheetId="4">[1]Variabler!$K$3</definedName>
    <definedName name="Fabriksbyggd_homologerad_motor">Variabler!$K$3</definedName>
    <definedName name="FWD" localSheetId="3">[1]Variabler!$F$8</definedName>
    <definedName name="FWD" localSheetId="4">[1]Variabler!$F$8</definedName>
    <definedName name="FWD">Variabler!$F$8</definedName>
    <definedName name="FWD_urspr">'[1]Variabler ursprung'!$F$8</definedName>
    <definedName name="Förändrad_tändkurva" localSheetId="3">[1]Variabler!$K$12</definedName>
    <definedName name="Förändrad_tändkurva" localSheetId="4">[1]Variabler!$K$12</definedName>
    <definedName name="Förändrad_tändkurva">Variabler!$K$12</definedName>
    <definedName name="kryss">Val!$A$22</definedName>
    <definedName name="Monterad_katalysator" localSheetId="3">[1]Variabler!$K$4</definedName>
    <definedName name="Monterad_katalysator" localSheetId="4">[1]Variabler!$K$4</definedName>
    <definedName name="Monterad_katalysator">Variabler!$K$4</definedName>
    <definedName name="Monterad_katalysator_urspr">'[1]Variabler ursprung'!$K$4</definedName>
    <definedName name="Motoreffekt">Klassningskalkyl!$N$70</definedName>
    <definedName name="Ombyggd_IC" localSheetId="3">[1]Variabler!$K$14</definedName>
    <definedName name="Ombyggd_IC" localSheetId="4">[1]Variabler!$K$14</definedName>
    <definedName name="Ombyggd_IC">Variabler!$K$14</definedName>
    <definedName name="Ombyggd_IC_urspr">'[1]Variabler ursprung'!$K$13</definedName>
    <definedName name="Planad_topp__1mm" localSheetId="3">[1]Variabler!$K$5</definedName>
    <definedName name="Planad_topp__1mm" localSheetId="4">[1]Variabler!$K$5</definedName>
    <definedName name="Planad_topp__1mm">Variabler!$K$5</definedName>
    <definedName name="Planad_topp_urspr">'[1]Variabler ursprung'!$K$5</definedName>
    <definedName name="Portad_topp" localSheetId="3">[1]Variabler!$K$6</definedName>
    <definedName name="Portad_topp" localSheetId="4">[1]Variabler!$K$6</definedName>
    <definedName name="Portad_topp">Variabler!$K$6</definedName>
    <definedName name="Programmerbart_sprut_sugmotor" localSheetId="3">[1]Variabler!$K$8</definedName>
    <definedName name="Programmerbart_sprut_sugmotor" localSheetId="4">[1]Variabler!$K$8</definedName>
    <definedName name="Programmerbart_sprut_sugmotor">Variabler!$K$8</definedName>
    <definedName name="Programmerbart_sprut_sugmotor_urspr">'[1]Variabler ursprung'!$K$7</definedName>
    <definedName name="Programmerbart_sprut_turbomotor" localSheetId="3">[1]Variabler!$K$10</definedName>
    <definedName name="Programmerbart_sprut_turbomotor" localSheetId="4">[1]Variabler!$K$10</definedName>
    <definedName name="Programmerbart_sprut_turbomotor">Variabler!$K$10</definedName>
    <definedName name="Programmerbart_sprut_turbomotor_ursprung">'[1]Variabler ursprung'!$K$9</definedName>
    <definedName name="Race" localSheetId="3">[1]Variabler!$F$14</definedName>
    <definedName name="Race" localSheetId="4">[1]Variabler!$F$14</definedName>
    <definedName name="Race">Variabler!$F$14</definedName>
    <definedName name="Race_urspr">'[1]Variabler ursprung'!$F$14</definedName>
    <definedName name="RWD" localSheetId="3">[1]Variabler!$F$9</definedName>
    <definedName name="RWD" localSheetId="4">[1]Variabler!$F$9</definedName>
    <definedName name="RWD">Variabler!$F$9</definedName>
    <definedName name="RWD_ursor">'[1]Variabler ursprung'!$F$9</definedName>
    <definedName name="Rörramschassi" localSheetId="3">[1]Variabler!$C$29</definedName>
    <definedName name="Rörramschassi" localSheetId="4">[1]Variabler!$C$29</definedName>
    <definedName name="Rörramschassi">Variabler!$C$29</definedName>
    <definedName name="Rörramschassi_urspr">'[1]Variabler ursprung'!$C$29</definedName>
    <definedName name="Slätt_golv" localSheetId="3">[1]Variabler!$C$33</definedName>
    <definedName name="Slätt_golv" localSheetId="4">[1]Variabler!$C$33</definedName>
    <definedName name="Slätt_golv">Variabler!$C$34</definedName>
    <definedName name="Snabbväxlingslåda" localSheetId="3">[1]Variabler!$C$30</definedName>
    <definedName name="Snabbväxlingslåda" localSheetId="4">[1]Variabler!$C$30</definedName>
    <definedName name="Snabbväxlingslåda">Variabler!$C$30</definedName>
    <definedName name="Snabbväxlingslåda_urspr">'[1]Variabler ursprung'!$C$30</definedName>
    <definedName name="Splitter" localSheetId="3">[1]Variabler!$C$32</definedName>
    <definedName name="Splitter" localSheetId="4">[1]Variabler!$C$32</definedName>
    <definedName name="Splitter">Variabler!$C$33</definedName>
    <definedName name="Spoiler" localSheetId="3">[1]Variabler!$C$27</definedName>
    <definedName name="Spoiler" localSheetId="4">[1]Variabler!$C$27</definedName>
    <definedName name="Spoiler">Variabler!$C$27</definedName>
    <definedName name="Spoiler_urspr">'[1]Variabler ursprung'!$C$27</definedName>
    <definedName name="Spårvidd_ökad" localSheetId="3">[1]Variabler!$C$31</definedName>
    <definedName name="Spårvidd_ökad" localSheetId="4">[1]Variabler!$C$31</definedName>
    <definedName name="Spårvidd_ökad">Variabler!$C$32</definedName>
    <definedName name="Standard" localSheetId="3">[1]Variabler!$F$13</definedName>
    <definedName name="Standard" localSheetId="4">[1]Variabler!$F$13</definedName>
    <definedName name="Standard">Variabler!$F$13</definedName>
    <definedName name="Standard_urspr">'[1]Variabler ursprung'!$F$13</definedName>
    <definedName name="Stel_bakaxel">Variabler!$C$31</definedName>
    <definedName name="Större_halsring_spridare" localSheetId="3">[1]Variabler!$K$11</definedName>
    <definedName name="Större_halsring_spridare" localSheetId="4">[1]Variabler!$K$11</definedName>
    <definedName name="Större_halsring_spridare">Variabler!$K$11</definedName>
    <definedName name="Större_halsring_spridare_urspr">'[1]Variabler ursprung'!$K$10</definedName>
    <definedName name="Tillägg_större" localSheetId="3">[1]Variabler!$C$21</definedName>
    <definedName name="Tillägg_större" localSheetId="4">[1]Variabler!$C$21</definedName>
    <definedName name="Tillägg_större">Variabler!$C$21</definedName>
    <definedName name="Tillägg_större_urspr">'[1]Variabler ursprung'!$C$21</definedName>
    <definedName name="Trimchip__fast_mapp__sugmotor" localSheetId="3">[1]Variabler!$K$7</definedName>
    <definedName name="Trimchip__fast_mapp__sugmotor" localSheetId="4">[1]Variabler!$K$7</definedName>
    <definedName name="Trimchip__fast_mapp__sugmotor">Variabler!$K$7</definedName>
    <definedName name="Trimchip_sugmotor_urspr">'[1]Variabler ursprung'!$K$6</definedName>
    <definedName name="Trimchip_turbomotor" localSheetId="3">[1]Variabler!$K$9</definedName>
    <definedName name="Trimchip_turbomotor" localSheetId="4">[1]Variabler!$K$9</definedName>
    <definedName name="Trimchip_turbomotor">Variabler!$K$9</definedName>
    <definedName name="Trimchip_turbomotor_urspr">'[1]Variabler ursprung'!$K$8</definedName>
    <definedName name="Tävlingseffekt">Klassningskalkyl!$N$68</definedName>
    <definedName name="Tävlingsvikt">Klassningskalkyl!$J$70</definedName>
    <definedName name="ViktI" localSheetId="3">[1]Variabler!$F$3</definedName>
    <definedName name="ViktI" localSheetId="4">[1]Variabler!$F$3</definedName>
    <definedName name="ViktI">Variabler!$F$3</definedName>
    <definedName name="ViktI_urspr">'[1]Variabler ursprung'!$F$3</definedName>
    <definedName name="ViktII" localSheetId="3">[1]Variabler!$F$4</definedName>
    <definedName name="ViktII" localSheetId="4">[1]Variabler!$F$4</definedName>
    <definedName name="ViktII">Variabler!$F$4</definedName>
    <definedName name="ViktII_urspr">'[1]Variabler ursprung'!$F$4</definedName>
    <definedName name="ViktIII" localSheetId="3">[1]Variabler!$F$5</definedName>
    <definedName name="ViktIII" localSheetId="4">[1]Variabler!$F$5</definedName>
    <definedName name="ViktIII">Variabler!$F$5</definedName>
    <definedName name="ViktIII_urspr">'[1]Variabler ursprung'!$F$5</definedName>
    <definedName name="Vinge" localSheetId="3">[1]Variabler!$C$28</definedName>
    <definedName name="Vinge" localSheetId="4">[1]Variabler!$C$28</definedName>
    <definedName name="Vinge">Variabler!$C$28</definedName>
    <definedName name="Vinge_urspr">'[1]Variabler ursprung'!$C$28</definedName>
    <definedName name="x">Val!$A$22</definedName>
    <definedName name="Ändrad_kamaxel_axlar" localSheetId="3">[1]Variabler!$K$15</definedName>
    <definedName name="Ändrad_kamaxel_axlar" localSheetId="4">[1]Variabler!$K$15</definedName>
    <definedName name="Ändrad_kamaxel_axlar">Variabler!$K$15</definedName>
    <definedName name="Ändrad_kamaxel_urspr">'[1]Variabler ursprung'!$K$14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6" l="1"/>
  <c r="N3" i="6"/>
  <c r="M3" i="6"/>
  <c r="L3" i="6"/>
  <c r="K3" i="6"/>
  <c r="H3" i="6"/>
  <c r="G3" i="6"/>
  <c r="O27" i="1"/>
  <c r="J68" i="1"/>
  <c r="H3" i="7" s="1"/>
  <c r="U3" i="6"/>
  <c r="O11" i="1"/>
  <c r="O15" i="1"/>
  <c r="O43" i="1"/>
  <c r="B3" i="6"/>
  <c r="Z3" i="7"/>
  <c r="H25" i="1" a="1"/>
  <c r="H25" i="1" s="1"/>
  <c r="H47" i="1" a="1"/>
  <c r="H47" i="1" s="1"/>
  <c r="O49" i="1"/>
  <c r="O47" i="1"/>
  <c r="O51" i="1"/>
  <c r="O53" i="1"/>
  <c r="AA3" i="7"/>
  <c r="O3" i="6" s="1"/>
  <c r="U3" i="7"/>
  <c r="I3" i="6" s="1"/>
  <c r="O31" i="1"/>
  <c r="H55" i="1" a="1"/>
  <c r="H55" i="1" s="1"/>
  <c r="K7" i="7"/>
  <c r="O63" i="1"/>
  <c r="O61" i="1"/>
  <c r="O59" i="1"/>
  <c r="O57" i="1"/>
  <c r="N21" i="1"/>
  <c r="D3" i="6" s="1"/>
  <c r="O23" i="1"/>
  <c r="B3" i="7"/>
  <c r="AI3" i="7"/>
  <c r="X3" i="6" s="1"/>
  <c r="AL3" i="7"/>
  <c r="AA3" i="6" s="1"/>
  <c r="AM3" i="7"/>
  <c r="AB3" i="6" s="1"/>
  <c r="AN3" i="7"/>
  <c r="AC3" i="6" s="1"/>
  <c r="AO3" i="7"/>
  <c r="AD3" i="6" s="1"/>
  <c r="AP3" i="7"/>
  <c r="AE3" i="6" s="1"/>
  <c r="AQ3" i="7"/>
  <c r="AF3" i="6" s="1"/>
  <c r="AR3" i="7"/>
  <c r="AG3" i="6" s="1"/>
  <c r="AS3" i="7"/>
  <c r="AH3" i="6" s="1"/>
  <c r="O55" i="1"/>
  <c r="O41" i="1"/>
  <c r="O39" i="1"/>
  <c r="O37" i="1"/>
  <c r="O35" i="1"/>
  <c r="O33" i="1"/>
  <c r="O29" i="1"/>
  <c r="O25" i="1"/>
  <c r="AW3" i="7"/>
  <c r="AY3" i="7" s="1"/>
  <c r="AV3" i="7"/>
  <c r="AX3" i="7" s="1"/>
  <c r="AU3" i="7"/>
  <c r="AN3" i="6" s="1"/>
  <c r="AK3" i="7"/>
  <c r="Z3" i="6" s="1"/>
  <c r="AJ3" i="7"/>
  <c r="Y3" i="6" s="1"/>
  <c r="AE3" i="7"/>
  <c r="S3" i="6" s="1"/>
  <c r="AD3" i="7"/>
  <c r="R3" i="6"/>
  <c r="AC3" i="7"/>
  <c r="Q3" i="6" s="1"/>
  <c r="Y3" i="7"/>
  <c r="X3" i="7"/>
  <c r="W3" i="7"/>
  <c r="T3" i="7"/>
  <c r="Q3" i="7"/>
  <c r="P3" i="7"/>
  <c r="O3" i="7"/>
  <c r="N3" i="7"/>
  <c r="AF3" i="7"/>
  <c r="V3" i="7"/>
  <c r="J14" i="5"/>
  <c r="J13" i="5"/>
  <c r="J12" i="5"/>
  <c r="J11" i="5"/>
  <c r="J10" i="5"/>
  <c r="J9" i="5"/>
  <c r="J8" i="5"/>
  <c r="J7" i="5"/>
  <c r="C5" i="5"/>
  <c r="C6" i="5"/>
  <c r="C7" i="5"/>
  <c r="C8" i="5"/>
  <c r="C9" i="5"/>
  <c r="C10" i="5"/>
  <c r="C11" i="5"/>
  <c r="C12" i="5"/>
  <c r="C13" i="5"/>
  <c r="C14" i="5"/>
  <c r="C15" i="5"/>
  <c r="N19" i="1" l="1"/>
  <c r="C3" i="6" s="1"/>
  <c r="E3" i="6" s="1"/>
  <c r="F3" i="6" s="1"/>
  <c r="T3" i="6" s="1"/>
  <c r="AZ3" i="7"/>
  <c r="BA3" i="7" s="1"/>
  <c r="AO3" i="6" s="1"/>
  <c r="AP3" i="6" s="1"/>
  <c r="AJ3" i="6"/>
  <c r="AK3" i="6" s="1"/>
  <c r="O19" i="1"/>
  <c r="R3" i="7" s="1"/>
  <c r="S3" i="7" s="1" a="1"/>
  <c r="S3" i="7" s="1"/>
  <c r="J19" i="1" l="1" a="1"/>
  <c r="J19" i="1" s="1"/>
  <c r="AL3" i="6"/>
  <c r="R47" i="1" s="1"/>
  <c r="J3" i="7"/>
  <c r="N70" i="1" s="1"/>
  <c r="O21" i="1"/>
  <c r="AQ3" i="6"/>
  <c r="AM3" i="6" l="1"/>
  <c r="I3" i="7" s="1"/>
  <c r="N68" i="1" s="1"/>
  <c r="N66" i="1" s="1"/>
  <c r="C3" i="7" l="1"/>
  <c r="B69" i="1" s="1"/>
  <c r="L3" i="7"/>
  <c r="M3" i="7" s="1"/>
  <c r="K3" i="7" s="1"/>
  <c r="J66" i="1" l="1"/>
  <c r="J7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Atterhall, Stefan</author>
  </authors>
  <commentList>
    <comment ref="B2" authorId="0" shapeId="0" xr:uid="{15258B8E-0EBC-4F79-83B5-7173352DE1B7}">
      <text>
        <r>
          <rPr>
            <b/>
            <sz val="9"/>
            <color indexed="81"/>
            <rFont val="Tahoma"/>
            <family val="2"/>
          </rPr>
          <t>Atterhall, Stefan:</t>
        </r>
        <r>
          <rPr>
            <sz val="9"/>
            <color indexed="81"/>
            <rFont val="Tahoma"/>
            <family val="2"/>
          </rPr>
          <t xml:space="preserve">
Modifierad
Trimmad</t>
        </r>
      </text>
    </comment>
    <comment ref="P2" authorId="0" shapeId="0" xr:uid="{DA230D4F-26B0-4DC0-A2E8-E9B12602B13C}">
      <text>
        <r>
          <rPr>
            <b/>
            <sz val="9"/>
            <color indexed="81"/>
            <rFont val="Tahoma"/>
            <family val="2"/>
          </rPr>
          <t>Atterhall, Stefan:</t>
        </r>
        <r>
          <rPr>
            <sz val="9"/>
            <color indexed="81"/>
            <rFont val="Tahoma"/>
            <family val="2"/>
          </rPr>
          <t xml:space="preserve">
Standard
Race
Etanol
Diesel</t>
        </r>
      </text>
    </comment>
    <comment ref="Q2" authorId="0" shapeId="0" xr:uid="{F18E23CA-9DD5-4B74-8C2D-D2512D3425DC}">
      <text>
        <r>
          <rPr>
            <b/>
            <sz val="9"/>
            <color indexed="81"/>
            <rFont val="Tahoma"/>
            <family val="2"/>
          </rPr>
          <t>Atterhall, Stefan:</t>
        </r>
        <r>
          <rPr>
            <sz val="9"/>
            <color indexed="81"/>
            <rFont val="Tahoma"/>
            <family val="2"/>
          </rPr>
          <t xml:space="preserve">
FWD
RWD
AWD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<sst xmlns="http://schemas.openxmlformats.org/spreadsheetml/2006/main" count="316" uniqueCount="164">
  <si>
    <t>Motor</t>
  </si>
  <si>
    <t>Originaleffekt</t>
  </si>
  <si>
    <t>Matning</t>
  </si>
  <si>
    <t>Insprutning</t>
  </si>
  <si>
    <t>Chassi</t>
  </si>
  <si>
    <t>ABS</t>
  </si>
  <si>
    <t>Snabbväxlingslåda</t>
  </si>
  <si>
    <t>Rörramschassi</t>
  </si>
  <si>
    <t>Hjälpmedel</t>
  </si>
  <si>
    <t>Aerodynamik</t>
  </si>
  <si>
    <t>Splitter</t>
  </si>
  <si>
    <t>Slätt golv</t>
  </si>
  <si>
    <t>Spoiler/Vinge kort</t>
  </si>
  <si>
    <t>Diffuser</t>
  </si>
  <si>
    <t>Bränsle</t>
  </si>
  <si>
    <t>Drivning</t>
  </si>
  <si>
    <t>Trimmad</t>
  </si>
  <si>
    <t>Topp</t>
  </si>
  <si>
    <t>Motortyp</t>
  </si>
  <si>
    <t>Race</t>
  </si>
  <si>
    <t>E85</t>
  </si>
  <si>
    <t>Diesel</t>
  </si>
  <si>
    <t>Bytt gasspjäll/plenum</t>
  </si>
  <si>
    <t>Planad topp &gt;1mm</t>
  </si>
  <si>
    <t>Portad topp</t>
  </si>
  <si>
    <t>Ej original grenrör</t>
  </si>
  <si>
    <t>Bil</t>
  </si>
  <si>
    <t>Förare</t>
  </si>
  <si>
    <t>Däck</t>
  </si>
  <si>
    <t>Grundbredd</t>
  </si>
  <si>
    <t>Vald däcksbredd</t>
  </si>
  <si>
    <t>Resultat</t>
  </si>
  <si>
    <t>Klass</t>
  </si>
  <si>
    <t>Tävlingsvikt</t>
  </si>
  <si>
    <t>Vikt/effekt</t>
  </si>
  <si>
    <t>Vald bredd</t>
  </si>
  <si>
    <t>x</t>
  </si>
  <si>
    <t>X</t>
  </si>
  <si>
    <t>Vinge &gt;18cm</t>
  </si>
  <si>
    <t>Ber. Motoreffekt</t>
  </si>
  <si>
    <t>Tävlingseffekt</t>
  </si>
  <si>
    <t>Cylindervolym</t>
  </si>
  <si>
    <t>Val i kalkylblad</t>
  </si>
  <si>
    <t>Modifierad standard</t>
  </si>
  <si>
    <t>Val</t>
  </si>
  <si>
    <t>Lista Matning</t>
  </si>
  <si>
    <t>Lista Motortyp</t>
  </si>
  <si>
    <t>Original effekt (hk)</t>
  </si>
  <si>
    <t>Cylindervolym (cc)</t>
  </si>
  <si>
    <t>Square?</t>
  </si>
  <si>
    <t>Förgasare 1 sp / 2 cyl</t>
  </si>
  <si>
    <t>Förgasare 1 sp / 1 cyl</t>
  </si>
  <si>
    <t>Kompressor</t>
  </si>
  <si>
    <t>Turbo</t>
  </si>
  <si>
    <t>Större munstycke/halsring</t>
  </si>
  <si>
    <t>Trimchip (fast mapp)</t>
  </si>
  <si>
    <t>Programmerbar insprutning</t>
  </si>
  <si>
    <t>Förändrad tändkurva</t>
  </si>
  <si>
    <t>Ombyggd/flyttad IC</t>
  </si>
  <si>
    <t>III</t>
  </si>
  <si>
    <t>Kort spoiler/vinge</t>
  </si>
  <si>
    <t>Vinge &gt;180mm</t>
  </si>
  <si>
    <t xml:space="preserve">Tävlingseffekt  </t>
  </si>
  <si>
    <t xml:space="preserve">Motoreffekt  </t>
  </si>
  <si>
    <t>Grundvikt däckbredd</t>
  </si>
  <si>
    <t>Klassindelning</t>
  </si>
  <si>
    <t>Däcksbredd</t>
  </si>
  <si>
    <t>Max grundvikt</t>
  </si>
  <si>
    <t>I</t>
  </si>
  <si>
    <t>II</t>
  </si>
  <si>
    <t>Var tidigare monterad katalysator</t>
  </si>
  <si>
    <t>Bränslesystem/spridare/tryckregulator defineras</t>
  </si>
  <si>
    <t>Bränslefaktor</t>
  </si>
  <si>
    <t>Tröskel</t>
  </si>
  <si>
    <t>Tillägg 1</t>
  </si>
  <si>
    <t>Trimmat</t>
  </si>
  <si>
    <t>Tillägg 2</t>
  </si>
  <si>
    <t>Typer</t>
  </si>
  <si>
    <t>2 ventiler / 1 tändstift per cyl</t>
  </si>
  <si>
    <t>Däckvariabler</t>
  </si>
  <si>
    <t>Tillägg större</t>
  </si>
  <si>
    <t>Avdrag mindre</t>
  </si>
  <si>
    <t>2 ventiler / 2 tändstift per cyl</t>
  </si>
  <si>
    <t>Tillägg/avdrag</t>
  </si>
  <si>
    <t>4 ventiler</t>
  </si>
  <si>
    <t>2V</t>
  </si>
  <si>
    <t>2V TS</t>
  </si>
  <si>
    <t>Splitter (50mm&lt;125mm)</t>
  </si>
  <si>
    <t>4V</t>
  </si>
  <si>
    <t>Diffuser &gt;30cm</t>
  </si>
  <si>
    <t>Diff däck</t>
  </si>
  <si>
    <t>Justering däck</t>
  </si>
  <si>
    <t>Justering drivning</t>
  </si>
  <si>
    <t>Justering bränsle</t>
  </si>
  <si>
    <t>SUMMA Justering</t>
  </si>
  <si>
    <t>Volym</t>
  </si>
  <si>
    <t>SUMMA val</t>
  </si>
  <si>
    <t>SUMMA motor Modifierat</t>
  </si>
  <si>
    <t>SUMMA Modifierad</t>
  </si>
  <si>
    <t>Variabel</t>
  </si>
  <si>
    <t>Grundeffekt</t>
  </si>
  <si>
    <t>SUMMA Trimmad</t>
  </si>
  <si>
    <t>Klassning ursprungliga variabler</t>
  </si>
  <si>
    <t>Klassning nya variabler</t>
  </si>
  <si>
    <t>Variabler</t>
  </si>
  <si>
    <t>Typ</t>
  </si>
  <si>
    <t>Diff. Optimal vikt för klassen</t>
  </si>
  <si>
    <t>Vikt bil</t>
  </si>
  <si>
    <t>Vikt förare</t>
  </si>
  <si>
    <t>Index grundbredd</t>
  </si>
  <si>
    <t>Trimchip (fast mapp) sugmotor</t>
  </si>
  <si>
    <t>Programmerbart sprut sugmotor</t>
  </si>
  <si>
    <t>Trimchip (fast mapp) turbomotor</t>
  </si>
  <si>
    <t>Programmerbart sprut turbomotor</t>
  </si>
  <si>
    <t>Större munstycke/halsring/spridare</t>
  </si>
  <si>
    <t>Ändrad kamaxel/axlar</t>
  </si>
  <si>
    <t>Index matning</t>
  </si>
  <si>
    <t>Index topp</t>
  </si>
  <si>
    <t>Faktor</t>
  </si>
  <si>
    <t>Framhjulsdrift</t>
  </si>
  <si>
    <t>Bakhjulsdrift</t>
  </si>
  <si>
    <t>Fyrhjulsdrift</t>
  </si>
  <si>
    <t>Större förgasare</t>
  </si>
  <si>
    <t>Kryssval</t>
  </si>
  <si>
    <t>Ändrad kamaxel</t>
  </si>
  <si>
    <t>Större munstycke</t>
  </si>
  <si>
    <t>Programmerbart sprut turbo</t>
  </si>
  <si>
    <t>Trimchip fast mapp</t>
  </si>
  <si>
    <t>Trimchip fast mapp sugmotor</t>
  </si>
  <si>
    <t>Planad topp</t>
  </si>
  <si>
    <t>Ej diffbroms</t>
  </si>
  <si>
    <t>*Välj motortyp för fler val</t>
  </si>
  <si>
    <t>Bytt bränslesystem</t>
  </si>
  <si>
    <t xml:space="preserve">Total justering </t>
  </si>
  <si>
    <t>Bensin</t>
  </si>
  <si>
    <t>Sekventiell växellåda</t>
  </si>
  <si>
    <t>Standard</t>
  </si>
  <si>
    <t>Dogringsväxellåda</t>
  </si>
  <si>
    <t>Manuell</t>
  </si>
  <si>
    <t>Sekventiell</t>
  </si>
  <si>
    <t>Manuell dogringslåda</t>
  </si>
  <si>
    <t>Klassningskalkyl 2026-2028</t>
  </si>
  <si>
    <t>Vald klass</t>
  </si>
  <si>
    <t>2,60 - 4,54 kg/hk</t>
  </si>
  <si>
    <t>4,55 - 6,49 kg/hk</t>
  </si>
  <si>
    <r>
      <rPr>
        <sz val="11"/>
        <color theme="1"/>
        <rFont val="Aptos Narrow"/>
        <family val="2"/>
      </rPr>
      <t>≥</t>
    </r>
    <r>
      <rPr>
        <sz val="11"/>
        <color theme="1"/>
        <rFont val="Calibri"/>
        <family val="2"/>
        <scheme val="minor"/>
      </rPr>
      <t xml:space="preserve"> 6,50  kg/hk</t>
    </r>
  </si>
  <si>
    <t>Klass I</t>
  </si>
  <si>
    <t>Klass II</t>
  </si>
  <si>
    <t>Klass III</t>
  </si>
  <si>
    <t>Angiven tävlingsvikt</t>
  </si>
  <si>
    <t>Angiven vikt</t>
  </si>
  <si>
    <t>Square</t>
  </si>
  <si>
    <t>Stel bakaxel</t>
  </si>
  <si>
    <t>Lista Chassi</t>
  </si>
  <si>
    <t>Beräknad vikt/effekt</t>
  </si>
  <si>
    <t>Effektfaktor</t>
  </si>
  <si>
    <t>Motorstorlek</t>
  </si>
  <si>
    <t>Tröskeleffekt</t>
  </si>
  <si>
    <t>Tröskelpåslag</t>
  </si>
  <si>
    <t>Minsta tillåtna tävlingsvikt*</t>
  </si>
  <si>
    <t>Drivmedel</t>
  </si>
  <si>
    <t xml:space="preserve"> </t>
  </si>
  <si>
    <t>version 1.01 2026</t>
  </si>
  <si>
    <t xml:space="preserve">*Denna beräkning tar ej hänsyn till "steg" i däckmatrisen, minsta tillåtna tävlingsvikt enligt vagndeklaration gäller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</si>
</sst>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#,##0.0"/>
    <numFmt numFmtId="166" formatCode="#,##0_ &quot;mm&quot;"/>
    <numFmt numFmtId="167" formatCode="#,##0_ &quot;kg&quot;"/>
    <numFmt numFmtId="168" formatCode="#,##0.00_ &quot;kg/hk&quot;"/>
    <numFmt numFmtId="169" formatCode="&quot;+&quot;#,##0&quot;%&quot;;\-#,##0&quot;%&quot;"/>
    <numFmt numFmtId="170" formatCode="#,##0_ &quot;hk&quot;"/>
    <numFmt numFmtId="171" formatCode="0.0%"/>
    <numFmt numFmtId="172" formatCode="0.0000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22"/>
      <color theme="0" tint="-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7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37"/>
      <color theme="1"/>
      <name val="Calibri"/>
      <family val="2"/>
      <scheme val="minor"/>
    </font>
    <font>
      <b/>
      <i/>
      <sz val="22"/>
      <color theme="0" tint="-0.34998626667073579"/>
      <name val="Calibri"/>
      <family val="2"/>
      <scheme val="minor"/>
    </font>
    <font>
      <b/>
      <i/>
      <sz val="20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b/>
      <sz val="22"/>
      <color theme="1"/>
      <name val="Calibri"/>
      <family val="2"/>
      <scheme val="minor"/>
    </font>
    <font>
      <b/>
      <i/>
      <sz val="22"/>
      <color theme="2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7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6" fillId="0" borderId="0"/>
    <xf numFmtId="9" fontId="22" fillId="0" borderId="0" applyFont="0" applyFill="0" applyBorder="0" applyAlignment="0" applyProtection="0"/>
  </cellStyleXfs>
  <cellXfs count="189">
    <xf numFmtId="0" fontId="0" fillId="0" borderId="0" xfId="0"/>
    <xf numFmtId="0" fontId="0" fillId="4" borderId="0" xfId="0" applyFill="1"/>
    <xf numFmtId="0" fontId="0" fillId="4" borderId="0" xfId="0" applyFill="1" applyAlignment="1">
      <alignment horizontal="right" vertical="center"/>
    </xf>
    <xf numFmtId="0" fontId="0" fillId="0" borderId="0" xfId="0" applyAlignment="1">
      <alignment vertical="center"/>
    </xf>
    <xf numFmtId="0" fontId="0" fillId="4" borderId="0" xfId="0" applyFill="1" applyAlignment="1">
      <alignment horizontal="right"/>
    </xf>
    <xf numFmtId="0" fontId="5" fillId="0" borderId="0" xfId="0" applyFont="1"/>
    <xf numFmtId="0" fontId="5" fillId="5" borderId="0" xfId="0" applyFont="1" applyFill="1"/>
    <xf numFmtId="0" fontId="2" fillId="0" borderId="0" xfId="0" applyFont="1"/>
    <xf numFmtId="0" fontId="0" fillId="0" borderId="0" xfId="0" applyAlignment="1">
      <alignment horizontal="right" vertical="center"/>
    </xf>
    <xf numFmtId="0" fontId="6" fillId="0" borderId="0" xfId="2"/>
    <xf numFmtId="0" fontId="6" fillId="0" borderId="0" xfId="2" applyAlignment="1">
      <alignment horizontal="center"/>
    </xf>
    <xf numFmtId="0" fontId="7" fillId="0" borderId="1" xfId="2" applyFont="1" applyBorder="1"/>
    <xf numFmtId="0" fontId="6" fillId="0" borderId="3" xfId="2" applyBorder="1"/>
    <xf numFmtId="0" fontId="6" fillId="0" borderId="2" xfId="2" applyBorder="1"/>
    <xf numFmtId="0" fontId="6" fillId="0" borderId="4" xfId="2" applyBorder="1"/>
    <xf numFmtId="0" fontId="6" fillId="0" borderId="5" xfId="2" applyBorder="1"/>
    <xf numFmtId="0" fontId="7" fillId="3" borderId="4" xfId="2" applyFont="1" applyFill="1" applyBorder="1"/>
    <xf numFmtId="0" fontId="6" fillId="8" borderId="0" xfId="2" applyFill="1"/>
    <xf numFmtId="0" fontId="6" fillId="8" borderId="5" xfId="2" applyFill="1" applyBorder="1"/>
    <xf numFmtId="0" fontId="8" fillId="3" borderId="4" xfId="2" applyFont="1" applyFill="1" applyBorder="1"/>
    <xf numFmtId="0" fontId="9" fillId="9" borderId="4" xfId="2" applyFont="1" applyFill="1" applyBorder="1"/>
    <xf numFmtId="0" fontId="6" fillId="0" borderId="0" xfId="2" applyAlignment="1">
      <alignment horizontal="left" vertical="center"/>
    </xf>
    <xf numFmtId="0" fontId="9" fillId="7" borderId="6" xfId="2" applyFont="1" applyFill="1" applyBorder="1"/>
    <xf numFmtId="0" fontId="6" fillId="8" borderId="7" xfId="2" applyFill="1" applyBorder="1"/>
    <xf numFmtId="0" fontId="6" fillId="8" borderId="8" xfId="2" applyFill="1" applyBorder="1"/>
    <xf numFmtId="0" fontId="6" fillId="0" borderId="6" xfId="2" applyBorder="1"/>
    <xf numFmtId="0" fontId="6" fillId="0" borderId="0" xfId="2" applyAlignment="1">
      <alignment horizontal="left"/>
    </xf>
    <xf numFmtId="0" fontId="8" fillId="5" borderId="4" xfId="2" applyFont="1" applyFill="1" applyBorder="1"/>
    <xf numFmtId="0" fontId="6" fillId="3" borderId="4" xfId="2" applyFill="1" applyBorder="1"/>
    <xf numFmtId="0" fontId="6" fillId="3" borderId="6" xfId="2" applyFill="1" applyBorder="1"/>
    <xf numFmtId="0" fontId="6" fillId="0" borderId="4" xfId="2" applyBorder="1" applyAlignment="1">
      <alignment vertical="top"/>
    </xf>
    <xf numFmtId="0" fontId="6" fillId="0" borderId="8" xfId="2" applyBorder="1"/>
    <xf numFmtId="0" fontId="6" fillId="0" borderId="7" xfId="2" applyBorder="1"/>
    <xf numFmtId="0" fontId="8" fillId="3" borderId="6" xfId="2" applyFont="1" applyFill="1" applyBorder="1"/>
    <xf numFmtId="0" fontId="6" fillId="0" borderId="6" xfId="2" applyBorder="1" applyAlignment="1">
      <alignment vertical="top"/>
    </xf>
    <xf numFmtId="0" fontId="6" fillId="0" borderId="14" xfId="2" applyBorder="1"/>
    <xf numFmtId="0" fontId="6" fillId="0" borderId="13" xfId="2" applyBorder="1"/>
    <xf numFmtId="0" fontId="7" fillId="6" borderId="7" xfId="2" applyFont="1" applyFill="1" applyBorder="1"/>
    <xf numFmtId="0" fontId="6" fillId="6" borderId="15" xfId="2" applyFill="1" applyBorder="1"/>
    <xf numFmtId="0" fontId="6" fillId="6" borderId="7" xfId="2" applyFill="1" applyBorder="1"/>
    <xf numFmtId="0" fontId="6" fillId="6" borderId="15" xfId="2" applyFill="1" applyBorder="1" applyAlignment="1">
      <alignment horizontal="left"/>
    </xf>
    <xf numFmtId="0" fontId="6" fillId="6" borderId="7" xfId="2" applyFill="1" applyBorder="1" applyAlignment="1">
      <alignment horizontal="left"/>
    </xf>
    <xf numFmtId="0" fontId="8" fillId="6" borderId="7" xfId="2" applyFont="1" applyFill="1" applyBorder="1" applyAlignment="1">
      <alignment horizontal="left"/>
    </xf>
    <xf numFmtId="0" fontId="6" fillId="10" borderId="15" xfId="2" applyFill="1" applyBorder="1" applyAlignment="1">
      <alignment horizontal="left"/>
    </xf>
    <xf numFmtId="0" fontId="6" fillId="10" borderId="7" xfId="2" applyFill="1" applyBorder="1" applyAlignment="1">
      <alignment horizontal="left"/>
    </xf>
    <xf numFmtId="0" fontId="8" fillId="10" borderId="7" xfId="2" applyFont="1" applyFill="1" applyBorder="1" applyAlignment="1">
      <alignment horizontal="left"/>
    </xf>
    <xf numFmtId="0" fontId="6" fillId="10" borderId="16" xfId="2" applyFill="1" applyBorder="1" applyAlignment="1">
      <alignment horizontal="left"/>
    </xf>
    <xf numFmtId="0" fontId="6" fillId="3" borderId="15" xfId="2" applyFill="1" applyBorder="1" applyAlignment="1">
      <alignment horizontal="left"/>
    </xf>
    <xf numFmtId="0" fontId="6" fillId="3" borderId="7" xfId="2" applyFill="1" applyBorder="1" applyAlignment="1">
      <alignment horizontal="left"/>
    </xf>
    <xf numFmtId="0" fontId="6" fillId="3" borderId="16" xfId="2" applyFill="1" applyBorder="1"/>
    <xf numFmtId="0" fontId="6" fillId="6" borderId="13" xfId="2" applyFill="1" applyBorder="1" applyAlignment="1">
      <alignment vertical="center"/>
    </xf>
    <xf numFmtId="0" fontId="6" fillId="6" borderId="14" xfId="2" applyFill="1" applyBorder="1" applyAlignment="1">
      <alignment horizontal="left"/>
    </xf>
    <xf numFmtId="0" fontId="6" fillId="11" borderId="14" xfId="2" applyFill="1" applyBorder="1" applyAlignment="1">
      <alignment horizontal="left"/>
    </xf>
    <xf numFmtId="164" fontId="6" fillId="11" borderId="0" xfId="2" applyNumberFormat="1" applyFill="1" applyAlignment="1">
      <alignment horizontal="left"/>
    </xf>
    <xf numFmtId="165" fontId="6" fillId="11" borderId="0" xfId="2" applyNumberFormat="1" applyFill="1" applyAlignment="1">
      <alignment horizontal="left"/>
    </xf>
    <xf numFmtId="0" fontId="6" fillId="11" borderId="0" xfId="2" applyFill="1" applyAlignment="1">
      <alignment horizontal="left"/>
    </xf>
    <xf numFmtId="0" fontId="6" fillId="11" borderId="13" xfId="2" applyFill="1" applyBorder="1" applyAlignment="1">
      <alignment horizontal="left"/>
    </xf>
    <xf numFmtId="0" fontId="6" fillId="10" borderId="0" xfId="2" applyFill="1" applyAlignment="1">
      <alignment horizontal="left"/>
    </xf>
    <xf numFmtId="0" fontId="6" fillId="6" borderId="0" xfId="2" applyFill="1" applyAlignment="1">
      <alignment horizontal="left"/>
    </xf>
    <xf numFmtId="0" fontId="6" fillId="12" borderId="14" xfId="2" applyFill="1" applyBorder="1" applyAlignment="1">
      <alignment horizontal="left"/>
    </xf>
    <xf numFmtId="0" fontId="6" fillId="12" borderId="0" xfId="2" applyFill="1" applyAlignment="1">
      <alignment horizontal="left"/>
    </xf>
    <xf numFmtId="0" fontId="6" fillId="10" borderId="14" xfId="2" applyFill="1" applyBorder="1" applyAlignment="1">
      <alignment horizontal="left"/>
    </xf>
    <xf numFmtId="0" fontId="6" fillId="10" borderId="13" xfId="2" applyFill="1" applyBorder="1" applyAlignment="1">
      <alignment horizontal="left"/>
    </xf>
    <xf numFmtId="0" fontId="6" fillId="3" borderId="0" xfId="2" applyFill="1" applyAlignment="1">
      <alignment horizontal="left"/>
    </xf>
    <xf numFmtId="0" fontId="6" fillId="6" borderId="16" xfId="2" applyFill="1" applyBorder="1" applyAlignment="1">
      <alignment vertical="center"/>
    </xf>
    <xf numFmtId="164" fontId="6" fillId="6" borderId="7" xfId="2" applyNumberFormat="1" applyFill="1" applyBorder="1" applyAlignment="1">
      <alignment horizontal="left"/>
    </xf>
    <xf numFmtId="165" fontId="6" fillId="6" borderId="7" xfId="2" applyNumberFormat="1" applyFill="1" applyBorder="1" applyAlignment="1">
      <alignment horizontal="left"/>
    </xf>
    <xf numFmtId="0" fontId="6" fillId="6" borderId="16" xfId="2" applyFill="1" applyBorder="1" applyAlignment="1">
      <alignment horizontal="left"/>
    </xf>
    <xf numFmtId="0" fontId="6" fillId="0" borderId="7" xfId="2" applyBorder="1" applyAlignment="1">
      <alignment horizontal="left"/>
    </xf>
    <xf numFmtId="0" fontId="6" fillId="0" borderId="13" xfId="2" applyBorder="1" applyAlignment="1">
      <alignment vertical="center"/>
    </xf>
    <xf numFmtId="0" fontId="6" fillId="8" borderId="14" xfId="2" applyFill="1" applyBorder="1" applyAlignment="1">
      <alignment horizontal="center"/>
    </xf>
    <xf numFmtId="0" fontId="6" fillId="6" borderId="14" xfId="2" applyFill="1" applyBorder="1" applyAlignment="1">
      <alignment horizontal="center"/>
    </xf>
    <xf numFmtId="164" fontId="6" fillId="6" borderId="0" xfId="2" applyNumberFormat="1" applyFill="1" applyAlignment="1">
      <alignment horizontal="center"/>
    </xf>
    <xf numFmtId="165" fontId="6" fillId="6" borderId="0" xfId="2" applyNumberFormat="1" applyFill="1" applyAlignment="1">
      <alignment horizontal="center"/>
    </xf>
    <xf numFmtId="0" fontId="6" fillId="6" borderId="0" xfId="2" applyFill="1" applyAlignment="1">
      <alignment horizontal="center"/>
    </xf>
    <xf numFmtId="0" fontId="6" fillId="6" borderId="2" xfId="2" applyFill="1" applyBorder="1" applyAlignment="1">
      <alignment horizontal="center"/>
    </xf>
    <xf numFmtId="0" fontId="6" fillId="0" borderId="14" xfId="2" applyBorder="1" applyAlignment="1">
      <alignment horizontal="center"/>
    </xf>
    <xf numFmtId="0" fontId="6" fillId="8" borderId="0" xfId="2" applyFill="1" applyAlignment="1">
      <alignment horizontal="center"/>
    </xf>
    <xf numFmtId="0" fontId="6" fillId="0" borderId="13" xfId="2" applyBorder="1" applyAlignment="1">
      <alignment horizontal="center"/>
    </xf>
    <xf numFmtId="0" fontId="6" fillId="3" borderId="13" xfId="2" applyFill="1" applyBorder="1" applyAlignment="1">
      <alignment vertical="center"/>
    </xf>
    <xf numFmtId="0" fontId="6" fillId="6" borderId="18" xfId="2" applyFill="1" applyBorder="1" applyAlignment="1">
      <alignment horizontal="center"/>
    </xf>
    <xf numFmtId="164" fontId="6" fillId="0" borderId="0" xfId="2" applyNumberFormat="1" applyAlignment="1">
      <alignment horizontal="center"/>
    </xf>
    <xf numFmtId="165" fontId="6" fillId="0" borderId="0" xfId="2" applyNumberFormat="1" applyAlignment="1">
      <alignment horizontal="center"/>
    </xf>
    <xf numFmtId="0" fontId="1" fillId="2" borderId="0" xfId="1" applyAlignment="1">
      <alignment horizontal="center"/>
    </xf>
    <xf numFmtId="0" fontId="1" fillId="2" borderId="14" xfId="1" applyBorder="1" applyAlignment="1">
      <alignment horizontal="center"/>
    </xf>
    <xf numFmtId="0" fontId="1" fillId="2" borderId="2" xfId="1" applyBorder="1" applyAlignment="1">
      <alignment horizontal="center"/>
    </xf>
    <xf numFmtId="164" fontId="1" fillId="2" borderId="0" xfId="1" applyNumberFormat="1" applyAlignment="1">
      <alignment horizontal="center"/>
    </xf>
    <xf numFmtId="0" fontId="1" fillId="2" borderId="17" xfId="1" applyBorder="1" applyAlignment="1">
      <alignment horizont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3" fillId="4" borderId="0" xfId="0" applyFont="1" applyFill="1"/>
    <xf numFmtId="0" fontId="3" fillId="4" borderId="0" xfId="0" applyFont="1" applyFill="1" applyAlignment="1">
      <alignment horizontal="right" vertical="center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169" fontId="14" fillId="4" borderId="0" xfId="0" applyNumberFormat="1" applyFont="1" applyFill="1" applyAlignment="1">
      <alignment horizontal="left"/>
    </xf>
    <xf numFmtId="2" fontId="1" fillId="2" borderId="0" xfId="1" applyNumberFormat="1" applyAlignment="1">
      <alignment horizontal="center"/>
    </xf>
    <xf numFmtId="0" fontId="16" fillId="3" borderId="0" xfId="0" applyFont="1" applyFill="1" applyAlignment="1">
      <alignment horizontal="center"/>
    </xf>
    <xf numFmtId="0" fontId="17" fillId="13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22" xfId="0" applyBorder="1"/>
    <xf numFmtId="0" fontId="0" fillId="0" borderId="18" xfId="0" applyBorder="1"/>
    <xf numFmtId="0" fontId="0" fillId="0" borderId="23" xfId="0" applyBorder="1"/>
    <xf numFmtId="0" fontId="19" fillId="4" borderId="0" xfId="0" applyFont="1" applyFill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1" fillId="4" borderId="0" xfId="0" applyFont="1" applyFill="1" applyAlignment="1">
      <alignment vertical="center"/>
    </xf>
    <xf numFmtId="0" fontId="0" fillId="5" borderId="0" xfId="0" applyFill="1"/>
    <xf numFmtId="0" fontId="0" fillId="14" borderId="0" xfId="0" applyFill="1"/>
    <xf numFmtId="0" fontId="0" fillId="14" borderId="0" xfId="0" applyFill="1" applyAlignment="1">
      <alignment vertical="center"/>
    </xf>
    <xf numFmtId="0" fontId="0" fillId="5" borderId="0" xfId="0" applyFill="1" applyAlignment="1">
      <alignment horizontal="right" vertical="center"/>
    </xf>
    <xf numFmtId="0" fontId="3" fillId="5" borderId="0" xfId="0" applyFont="1" applyFill="1"/>
    <xf numFmtId="0" fontId="18" fillId="5" borderId="0" xfId="0" applyFont="1" applyFill="1" applyAlignment="1">
      <alignment vertical="center"/>
    </xf>
    <xf numFmtId="0" fontId="0" fillId="5" borderId="0" xfId="0" applyFill="1" applyAlignment="1">
      <alignment horizontal="right"/>
    </xf>
    <xf numFmtId="0" fontId="0" fillId="5" borderId="13" xfId="0" applyFill="1" applyBorder="1" applyAlignment="1">
      <alignment horizontal="right"/>
    </xf>
    <xf numFmtId="0" fontId="5" fillId="5" borderId="0" xfId="0" applyFont="1" applyFill="1" applyAlignment="1">
      <alignment horizontal="right"/>
    </xf>
    <xf numFmtId="0" fontId="24" fillId="5" borderId="0" xfId="0" applyFont="1" applyFill="1" applyAlignment="1">
      <alignment vertical="center"/>
    </xf>
    <xf numFmtId="170" fontId="5" fillId="5" borderId="0" xfId="0" applyNumberFormat="1" applyFont="1" applyFill="1" applyAlignment="1">
      <alignment horizontal="right"/>
    </xf>
    <xf numFmtId="170" fontId="5" fillId="5" borderId="0" xfId="0" applyNumberFormat="1" applyFont="1" applyFill="1"/>
    <xf numFmtId="168" fontId="0" fillId="5" borderId="0" xfId="0" applyNumberFormat="1" applyFill="1" applyAlignment="1">
      <alignment horizontal="right" vertical="center"/>
    </xf>
    <xf numFmtId="0" fontId="25" fillId="14" borderId="0" xfId="0" applyFont="1" applyFill="1" applyAlignment="1">
      <alignment horizontal="left" vertical="center"/>
    </xf>
    <xf numFmtId="0" fontId="26" fillId="14" borderId="0" xfId="0" applyFont="1" applyFill="1"/>
    <xf numFmtId="0" fontId="26" fillId="1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28" fillId="0" borderId="0" xfId="0" applyFont="1" applyAlignment="1">
      <alignment vertical="center"/>
    </xf>
    <xf numFmtId="0" fontId="15" fillId="4" borderId="0" xfId="0" applyFont="1" applyFill="1" applyAlignment="1">
      <alignment vertical="top" wrapText="1"/>
    </xf>
    <xf numFmtId="0" fontId="27" fillId="4" borderId="0" xfId="0" applyFont="1" applyFill="1" applyAlignment="1">
      <alignment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2" fontId="6" fillId="0" borderId="0" xfId="2" applyNumberFormat="1"/>
    <xf numFmtId="3" fontId="6" fillId="0" borderId="14" xfId="2" applyNumberFormat="1" applyBorder="1"/>
    <xf numFmtId="10" fontId="0" fillId="0" borderId="0" xfId="3" applyNumberFormat="1" applyFont="1"/>
    <xf numFmtId="2" fontId="6" fillId="8" borderId="5" xfId="2" applyNumberFormat="1" applyFill="1" applyBorder="1"/>
    <xf numFmtId="0" fontId="30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71" fontId="15" fillId="4" borderId="0" xfId="3" applyNumberFormat="1" applyFont="1" applyFill="1" applyAlignment="1">
      <alignment horizontal="right" vertical="center" wrapText="1"/>
    </xf>
    <xf numFmtId="171" fontId="15" fillId="4" borderId="0" xfId="3" applyNumberFormat="1" applyFont="1" applyFill="1" applyAlignment="1">
      <alignment horizontal="right" vertical="center"/>
    </xf>
    <xf numFmtId="171" fontId="31" fillId="4" borderId="0" xfId="3" applyNumberFormat="1" applyFont="1" applyFill="1" applyAlignment="1">
      <alignment vertical="center"/>
    </xf>
    <xf numFmtId="171" fontId="31" fillId="4" borderId="0" xfId="3" applyNumberFormat="1" applyFont="1" applyFill="1" applyAlignment="1">
      <alignment horizontal="right" vertical="center"/>
    </xf>
    <xf numFmtId="171" fontId="29" fillId="4" borderId="0" xfId="3" applyNumberFormat="1" applyFont="1" applyFill="1" applyAlignment="1">
      <alignment horizontal="right" vertical="center"/>
    </xf>
    <xf numFmtId="171" fontId="31" fillId="4" borderId="0" xfId="3" applyNumberFormat="1" applyFont="1" applyFill="1"/>
    <xf numFmtId="171" fontId="15" fillId="4" borderId="0" xfId="3" applyNumberFormat="1" applyFont="1" applyFill="1" applyAlignment="1">
      <alignment vertical="center"/>
    </xf>
    <xf numFmtId="171" fontId="14" fillId="4" borderId="0" xfId="3" applyNumberFormat="1" applyFont="1" applyFill="1" applyAlignment="1">
      <alignment horizontal="right" vertical="center"/>
    </xf>
    <xf numFmtId="171" fontId="0" fillId="4" borderId="0" xfId="3" applyNumberFormat="1" applyFont="1" applyFill="1"/>
    <xf numFmtId="172" fontId="6" fillId="0" borderId="0" xfId="2" applyNumberFormat="1"/>
    <xf numFmtId="168" fontId="5" fillId="4" borderId="10" xfId="0" applyNumberFormat="1" applyFont="1" applyFill="1" applyBorder="1" applyAlignment="1">
      <alignment horizontal="right" vertical="center"/>
    </xf>
    <xf numFmtId="168" fontId="5" fillId="4" borderId="12" xfId="0" applyNumberFormat="1" applyFont="1" applyFill="1" applyBorder="1" applyAlignment="1">
      <alignment horizontal="right" vertical="center"/>
    </xf>
    <xf numFmtId="0" fontId="0" fillId="4" borderId="19" xfId="0" applyFill="1" applyBorder="1" applyAlignment="1" applyProtection="1">
      <alignment horizontal="left"/>
      <protection locked="0"/>
    </xf>
    <xf numFmtId="0" fontId="0" fillId="4" borderId="20" xfId="0" applyFill="1" applyBorder="1" applyAlignment="1" applyProtection="1">
      <alignment horizontal="left"/>
      <protection locked="0"/>
    </xf>
    <xf numFmtId="0" fontId="0" fillId="4" borderId="21" xfId="0" applyFill="1" applyBorder="1" applyAlignment="1" applyProtection="1">
      <alignment horizontal="left"/>
      <protection locked="0"/>
    </xf>
    <xf numFmtId="0" fontId="15" fillId="4" borderId="0" xfId="0" applyFont="1" applyFill="1" applyAlignment="1">
      <alignment vertical="top" wrapText="1"/>
    </xf>
    <xf numFmtId="0" fontId="0" fillId="4" borderId="19" xfId="0" applyFill="1" applyBorder="1" applyAlignment="1" applyProtection="1">
      <alignment horizontal="left" vertical="center"/>
      <protection locked="0"/>
    </xf>
    <xf numFmtId="0" fontId="0" fillId="4" borderId="20" xfId="0" applyFill="1" applyBorder="1" applyAlignment="1" applyProtection="1">
      <alignment horizontal="left" vertical="center"/>
      <protection locked="0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4" borderId="10" xfId="0" applyFill="1" applyBorder="1" applyAlignment="1" applyProtection="1">
      <alignment horizontal="left" vertical="center"/>
      <protection locked="0"/>
    </xf>
    <xf numFmtId="0" fontId="0" fillId="4" borderId="11" xfId="0" applyFill="1" applyBorder="1" applyAlignment="1" applyProtection="1">
      <alignment horizontal="left" vertical="center"/>
      <protection locked="0"/>
    </xf>
    <xf numFmtId="0" fontId="0" fillId="4" borderId="12" xfId="0" applyFill="1" applyBorder="1" applyAlignment="1" applyProtection="1">
      <alignment horizontal="left" vertical="center"/>
      <protection locked="0"/>
    </xf>
    <xf numFmtId="167" fontId="5" fillId="4" borderId="10" xfId="0" applyNumberFormat="1" applyFont="1" applyFill="1" applyBorder="1" applyAlignment="1">
      <alignment horizontal="right" vertical="center"/>
    </xf>
    <xf numFmtId="0" fontId="5" fillId="4" borderId="12" xfId="0" applyFont="1" applyFill="1" applyBorder="1" applyAlignment="1">
      <alignment horizontal="right" vertical="center"/>
    </xf>
    <xf numFmtId="0" fontId="13" fillId="14" borderId="0" xfId="0" applyFont="1" applyFill="1" applyAlignment="1">
      <alignment horizontal="right"/>
    </xf>
    <xf numFmtId="0" fontId="0" fillId="5" borderId="0" xfId="0" applyFill="1" applyAlignment="1">
      <alignment horizontal="center"/>
    </xf>
    <xf numFmtId="0" fontId="25" fillId="14" borderId="0" xfId="0" applyFont="1" applyFill="1" applyAlignment="1">
      <alignment horizontal="left" vertical="center"/>
    </xf>
    <xf numFmtId="171" fontId="5" fillId="4" borderId="10" xfId="3" applyNumberFormat="1" applyFont="1" applyFill="1" applyBorder="1" applyAlignment="1">
      <alignment horizontal="right" vertical="center"/>
    </xf>
    <xf numFmtId="171" fontId="5" fillId="4" borderId="11" xfId="3" applyNumberFormat="1" applyFont="1" applyFill="1" applyBorder="1" applyAlignment="1">
      <alignment horizontal="right" vertical="center"/>
    </xf>
    <xf numFmtId="171" fontId="5" fillId="4" borderId="12" xfId="3" applyNumberFormat="1" applyFont="1" applyFill="1" applyBorder="1" applyAlignment="1">
      <alignment horizontal="right" vertical="center"/>
    </xf>
    <xf numFmtId="167" fontId="0" fillId="4" borderId="10" xfId="0" applyNumberFormat="1" applyFill="1" applyBorder="1" applyAlignment="1" applyProtection="1">
      <alignment horizontal="right"/>
      <protection locked="0"/>
    </xf>
    <xf numFmtId="167" fontId="0" fillId="4" borderId="11" xfId="0" applyNumberFormat="1" applyFill="1" applyBorder="1" applyAlignment="1" applyProtection="1">
      <alignment horizontal="right"/>
      <protection locked="0"/>
    </xf>
    <xf numFmtId="167" fontId="0" fillId="4" borderId="12" xfId="0" applyNumberFormat="1" applyFill="1" applyBorder="1" applyAlignment="1" applyProtection="1">
      <alignment horizontal="right"/>
      <protection locked="0"/>
    </xf>
    <xf numFmtId="0" fontId="12" fillId="5" borderId="0" xfId="0" applyFont="1" applyFill="1" applyAlignment="1">
      <alignment horizontal="left" vertical="center"/>
    </xf>
    <xf numFmtId="0" fontId="0" fillId="4" borderId="0" xfId="0" applyFill="1" applyAlignment="1" applyProtection="1">
      <alignment horizontal="left"/>
      <protection locked="0"/>
    </xf>
    <xf numFmtId="0" fontId="0" fillId="4" borderId="0" xfId="0" applyFill="1" applyAlignment="1" applyProtection="1">
      <alignment horizontal="right"/>
      <protection locked="0"/>
    </xf>
    <xf numFmtId="167" fontId="5" fillId="4" borderId="10" xfId="0" applyNumberFormat="1" applyFont="1" applyFill="1" applyBorder="1" applyAlignment="1">
      <alignment vertical="center"/>
    </xf>
    <xf numFmtId="167" fontId="5" fillId="4" borderId="12" xfId="0" applyNumberFormat="1" applyFont="1" applyFill="1" applyBorder="1" applyAlignment="1">
      <alignment vertical="center"/>
    </xf>
    <xf numFmtId="0" fontId="5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center" vertical="center"/>
    </xf>
    <xf numFmtId="170" fontId="5" fillId="4" borderId="10" xfId="0" applyNumberFormat="1" applyFont="1" applyFill="1" applyBorder="1" applyAlignment="1">
      <alignment horizontal="right" vertical="center"/>
    </xf>
    <xf numFmtId="170" fontId="5" fillId="4" borderId="11" xfId="0" applyNumberFormat="1" applyFont="1" applyFill="1" applyBorder="1" applyAlignment="1">
      <alignment horizontal="right" vertical="center"/>
    </xf>
    <xf numFmtId="170" fontId="5" fillId="4" borderId="12" xfId="0" applyNumberFormat="1" applyFont="1" applyFill="1" applyBorder="1" applyAlignment="1">
      <alignment horizontal="right" vertical="center"/>
    </xf>
    <xf numFmtId="0" fontId="4" fillId="5" borderId="0" xfId="0" applyFont="1" applyFill="1" applyAlignment="1">
      <alignment horizontal="center" vertical="center"/>
    </xf>
    <xf numFmtId="171" fontId="15" fillId="4" borderId="0" xfId="3" applyNumberFormat="1" applyFont="1" applyFill="1" applyAlignment="1">
      <alignment vertical="top" wrapText="1"/>
    </xf>
    <xf numFmtId="3" fontId="0" fillId="4" borderId="10" xfId="0" applyNumberFormat="1" applyFill="1" applyBorder="1" applyAlignment="1" applyProtection="1">
      <alignment horizontal="right"/>
      <protection locked="0"/>
    </xf>
    <xf numFmtId="3" fontId="0" fillId="4" borderId="11" xfId="0" applyNumberFormat="1" applyFill="1" applyBorder="1" applyAlignment="1" applyProtection="1">
      <alignment horizontal="right"/>
      <protection locked="0"/>
    </xf>
    <xf numFmtId="3" fontId="0" fillId="4" borderId="12" xfId="0" applyNumberFormat="1" applyFill="1" applyBorder="1" applyAlignment="1" applyProtection="1">
      <alignment horizontal="right"/>
      <protection locked="0"/>
    </xf>
    <xf numFmtId="166" fontId="0" fillId="4" borderId="10" xfId="0" applyNumberFormat="1" applyFill="1" applyBorder="1" applyAlignment="1" applyProtection="1">
      <alignment horizontal="right"/>
      <protection locked="0"/>
    </xf>
    <xf numFmtId="166" fontId="0" fillId="4" borderId="11" xfId="0" applyNumberFormat="1" applyFill="1" applyBorder="1" applyAlignment="1" applyProtection="1">
      <alignment horizontal="right"/>
      <protection locked="0"/>
    </xf>
    <xf numFmtId="166" fontId="0" fillId="4" borderId="12" xfId="0" applyNumberFormat="1" applyFill="1" applyBorder="1" applyAlignment="1" applyProtection="1">
      <alignment horizontal="right"/>
      <protection locked="0"/>
    </xf>
    <xf numFmtId="166" fontId="0" fillId="4" borderId="10" xfId="0" applyNumberFormat="1" applyFill="1" applyBorder="1" applyAlignment="1">
      <alignment horizontal="right"/>
    </xf>
    <xf numFmtId="166" fontId="0" fillId="4" borderId="11" xfId="0" applyNumberFormat="1" applyFill="1" applyBorder="1" applyAlignment="1">
      <alignment horizontal="right"/>
    </xf>
    <xf numFmtId="166" fontId="0" fillId="4" borderId="12" xfId="0" applyNumberFormat="1" applyFill="1" applyBorder="1" applyAlignment="1">
      <alignment horizontal="right"/>
    </xf>
    <xf numFmtId="0" fontId="15" fillId="4" borderId="0" xfId="0" applyFont="1" applyFill="1" applyAlignment="1">
      <alignment horizontal="left" vertical="top" wrapText="1"/>
    </xf>
    <xf numFmtId="0" fontId="13" fillId="5" borderId="0" xfId="0" applyFont="1" applyFill="1" applyAlignment="1">
      <alignment horizontal="right"/>
    </xf>
  </cellXfs>
  <cellStyles count="4">
    <cellStyle name="Bra" xfId="1" builtinId="26"/>
    <cellStyle name="Normal" xfId="0" builtinId="0"/>
    <cellStyle name="Normal 2" xfId="2" xr:uid="{2A363CEA-B2CB-460A-8BA0-75AA88EC5246}"/>
    <cellStyle name="Procent" xfId="3" builtinId="5"/>
  </cellStyles>
  <dxfs count="62"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</font>
    </dxf>
    <dxf>
      <font>
        <b val="0"/>
        <i val="0"/>
        <color theme="1"/>
      </font>
    </dxf>
    <dxf>
      <font>
        <b val="0"/>
        <i val="0"/>
        <color auto="1"/>
      </font>
    </dxf>
    <dxf>
      <font>
        <b val="0"/>
        <i val="0"/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0"/>
      </font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color auto="1"/>
      </font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color auto="1"/>
      </font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ont>
        <color theme="0"/>
      </font>
    </dxf>
    <dxf>
      <font>
        <color theme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border>
        <vertical/>
        <horizontal/>
      </border>
    </dxf>
    <dxf>
      <font>
        <strike val="0"/>
        <color theme="1"/>
      </font>
    </dxf>
    <dxf>
      <font>
        <color theme="0"/>
      </font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</font>
    </dxf>
    <dxf>
      <font>
        <b val="0"/>
        <i/>
      </font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59999389629810485"/>
        </patternFill>
      </fill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186788</xdr:colOff>
      <xdr:row>0</xdr:row>
      <xdr:rowOff>34289</xdr:rowOff>
    </xdr:from>
    <xdr:to>
      <xdr:col>12</xdr:col>
      <xdr:colOff>376941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5EC668-EB05-ACE2-432C-021626AC28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149" b="9954"/>
        <a:stretch>
          <a:fillRect/>
        </a:stretch>
      </xdr:blipFill>
      <xdr:spPr>
        <a:xfrm>
          <a:off x="1280258" y="9524"/>
          <a:ext cx="4419253" cy="876301"/>
        </a:xfrm>
        <a:prstGeom prst="rect">
          <a:avLst/>
        </a:prstGeom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nbasanor-my.sharepoint.com/personal/stefan_atterhall_autolease_se/Documents/Documents/_Privat/CARC%20Vagndeklarationer/Klassningsbenchmarck%20CAR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ämförelse"/>
      <sheetName val="Beräkning"/>
      <sheetName val="Beräkning ursprung"/>
      <sheetName val="Variabler"/>
      <sheetName val="Variabler ursprung"/>
      <sheetName val="CAR"/>
    </sheetNames>
    <sheetDataSet>
      <sheetData sheetId="0" refreshError="1">
        <row r="2">
          <cell r="AK2" t="str">
            <v>Trimchip (fast mapp) sugmotor</v>
          </cell>
          <cell r="AL2" t="str">
            <v>Programmerbart sprut sugmotor</v>
          </cell>
          <cell r="AM2" t="str">
            <v>Trimchip (fast mapp) turbomotor</v>
          </cell>
          <cell r="AN2" t="str">
            <v>Programmerbart sprut turbomotor</v>
          </cell>
          <cell r="AO2" t="str">
            <v>Större munstycke/halsring/spridare</v>
          </cell>
          <cell r="AP2" t="str">
            <v>Förändrad tändkurva</v>
          </cell>
          <cell r="AQ2" t="str">
            <v>Ej original grenrör</v>
          </cell>
          <cell r="AR2" t="str">
            <v>Ombyggd/flyttad IC</v>
          </cell>
        </row>
      </sheetData>
      <sheetData sheetId="1" refreshError="1"/>
      <sheetData sheetId="2" refreshError="1"/>
      <sheetData sheetId="3" refreshError="1">
        <row r="3">
          <cell r="F3">
            <v>2.6</v>
          </cell>
          <cell r="K3"/>
        </row>
        <row r="4">
          <cell r="C4">
            <v>784</v>
          </cell>
          <cell r="F4">
            <v>4.55</v>
          </cell>
          <cell r="K4">
            <v>6</v>
          </cell>
        </row>
        <row r="5">
          <cell r="C5">
            <v>884</v>
          </cell>
          <cell r="F5">
            <v>6.5</v>
          </cell>
          <cell r="K5">
            <v>5</v>
          </cell>
        </row>
        <row r="6">
          <cell r="C6">
            <v>984</v>
          </cell>
          <cell r="K6">
            <v>6</v>
          </cell>
        </row>
        <row r="7">
          <cell r="C7">
            <v>1084</v>
          </cell>
          <cell r="K7">
            <v>6</v>
          </cell>
        </row>
        <row r="8">
          <cell r="C8">
            <v>1184</v>
          </cell>
          <cell r="F8">
            <v>-2</v>
          </cell>
          <cell r="K8">
            <v>12</v>
          </cell>
        </row>
        <row r="9">
          <cell r="C9">
            <v>1284</v>
          </cell>
          <cell r="F9">
            <v>0</v>
          </cell>
          <cell r="K9">
            <v>16</v>
          </cell>
        </row>
        <row r="10">
          <cell r="C10">
            <v>1359</v>
          </cell>
          <cell r="F10">
            <v>2</v>
          </cell>
          <cell r="K10">
            <v>25</v>
          </cell>
        </row>
        <row r="11">
          <cell r="C11">
            <v>1434</v>
          </cell>
          <cell r="K11">
            <v>6</v>
          </cell>
        </row>
        <row r="12">
          <cell r="C12">
            <v>1509</v>
          </cell>
          <cell r="K12">
            <v>3</v>
          </cell>
        </row>
        <row r="13">
          <cell r="C13">
            <v>1584</v>
          </cell>
          <cell r="F13">
            <v>0</v>
          </cell>
          <cell r="K13">
            <v>5</v>
          </cell>
        </row>
        <row r="14">
          <cell r="C14">
            <v>1659</v>
          </cell>
          <cell r="F14">
            <v>1</v>
          </cell>
          <cell r="K14">
            <v>20</v>
          </cell>
        </row>
        <row r="15">
          <cell r="F15">
            <v>2</v>
          </cell>
          <cell r="K15">
            <v>20</v>
          </cell>
        </row>
        <row r="16">
          <cell r="F16">
            <v>18</v>
          </cell>
        </row>
        <row r="21">
          <cell r="C21">
            <v>3.7</v>
          </cell>
        </row>
        <row r="22">
          <cell r="C22">
            <v>3.5</v>
          </cell>
        </row>
        <row r="25">
          <cell r="C25"/>
        </row>
        <row r="26">
          <cell r="C26">
            <v>6</v>
          </cell>
        </row>
        <row r="27">
          <cell r="C27">
            <v>2</v>
          </cell>
        </row>
        <row r="28">
          <cell r="C28">
            <v>5</v>
          </cell>
        </row>
        <row r="29">
          <cell r="C29">
            <v>15</v>
          </cell>
        </row>
        <row r="30">
          <cell r="C30">
            <v>7</v>
          </cell>
        </row>
        <row r="31">
          <cell r="C31"/>
        </row>
        <row r="32">
          <cell r="C32">
            <v>3</v>
          </cell>
        </row>
        <row r="33">
          <cell r="C33">
            <v>7</v>
          </cell>
        </row>
        <row r="34">
          <cell r="C34">
            <v>5</v>
          </cell>
        </row>
      </sheetData>
      <sheetData sheetId="4" refreshError="1">
        <row r="3">
          <cell r="F3">
            <v>2.6</v>
          </cell>
          <cell r="K3">
            <v>-5</v>
          </cell>
        </row>
        <row r="4">
          <cell r="F4">
            <v>4.55</v>
          </cell>
          <cell r="K4">
            <v>-3</v>
          </cell>
        </row>
        <row r="5">
          <cell r="F5">
            <v>6.5</v>
          </cell>
          <cell r="K5">
            <v>5</v>
          </cell>
        </row>
        <row r="6">
          <cell r="K6">
            <v>6</v>
          </cell>
        </row>
        <row r="7">
          <cell r="K7">
            <v>6</v>
          </cell>
        </row>
        <row r="8">
          <cell r="F8">
            <v>-3</v>
          </cell>
          <cell r="K8">
            <v>10</v>
          </cell>
        </row>
        <row r="9">
          <cell r="F9">
            <v>0</v>
          </cell>
          <cell r="K9">
            <v>20</v>
          </cell>
        </row>
        <row r="10">
          <cell r="F10">
            <v>3</v>
          </cell>
          <cell r="K10">
            <v>6</v>
          </cell>
        </row>
        <row r="12">
          <cell r="K12">
            <v>5</v>
          </cell>
        </row>
        <row r="13">
          <cell r="F13">
            <v>0</v>
          </cell>
          <cell r="K13">
            <v>20</v>
          </cell>
        </row>
        <row r="14">
          <cell r="F14">
            <v>1</v>
          </cell>
          <cell r="K14">
            <v>20</v>
          </cell>
        </row>
        <row r="15">
          <cell r="F15">
            <v>2</v>
          </cell>
        </row>
        <row r="16">
          <cell r="F16">
            <v>70</v>
          </cell>
        </row>
        <row r="21">
          <cell r="C21">
            <v>3.7</v>
          </cell>
        </row>
        <row r="22">
          <cell r="C22">
            <v>3.5</v>
          </cell>
        </row>
        <row r="26">
          <cell r="C26">
            <v>5</v>
          </cell>
        </row>
        <row r="27">
          <cell r="C27">
            <v>3</v>
          </cell>
        </row>
        <row r="28">
          <cell r="C28">
            <v>8</v>
          </cell>
        </row>
        <row r="29">
          <cell r="C29">
            <v>10</v>
          </cell>
        </row>
        <row r="30">
          <cell r="C30">
            <v>5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A0DBA6-18C4-4F2B-B766-D24A8BCAC8A9}" name="Motortyp" displayName="Motortyp" ref="C3:E15" totalsRowShown="0">
  <autoFilter ref="C3:E15" xr:uid="{3FA0DBA6-18C4-4F2B-B766-D24A8BCAC8A9}"/>
  <tableColumns count="3">
    <tableColumn id="1" xr3:uid="{EC02536F-50DE-4581-BB15-445E52017ED7}" name="Motortyp" dataDxfId="61"/>
    <tableColumn id="2" xr3:uid="{1B30AD20-571A-4735-A37E-B55B3860CC3F}" name="Val"/>
    <tableColumn id="5" xr3:uid="{793DCA01-0234-47C4-8345-0E05E67BE51C}" name="Square?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81A310-8146-454E-9854-CF731286986D}" name="Matning" displayName="Matning" ref="G3:I36" totalsRowShown="0">
  <autoFilter ref="G3:I36" xr:uid="{E181A310-8146-454E-9854-CF731286986D}"/>
  <tableColumns count="3">
    <tableColumn id="1" xr3:uid="{95E34BC5-9F95-4107-8649-9F979AB2E64F}" name="Matning"/>
    <tableColumn id="2" xr3:uid="{CEE57284-2339-473D-B84F-C0C2EDEDD457}" name="Val"/>
    <tableColumn id="3" xr3:uid="{331DF22B-BB7A-47CA-B8B6-59A1E0AB90C7}" name="Square?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5F49B53-3572-49C4-A1F4-1F9FD23DB8AE}" name="Kryssval" displayName="Kryssval" ref="A20:A22" totalsRowShown="0" headerRowDxfId="60">
  <autoFilter ref="A20:A22" xr:uid="{F5F49B53-3572-49C4-A1F4-1F9FD23DB8AE}"/>
  <tableColumns count="1">
    <tableColumn id="1" xr3:uid="{FB0FEEB0-4ED4-4AEC-8F98-973346AC18A8}" name="Kryssval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9E6D14-D0E3-43FC-B027-891C910F59EC}" name="Tabell4" displayName="Tabell4" ref="K3:M8" totalsRowShown="0">
  <autoFilter ref="K3:M8" xr:uid="{B89E6D14-D0E3-43FC-B027-891C910F59EC}"/>
  <tableColumns count="3">
    <tableColumn id="1" xr3:uid="{422E87EB-4529-4556-8D7F-186ABD0B3561}" name="Chassi"/>
    <tableColumn id="2" xr3:uid="{FB7A8E1E-19B3-40CC-9206-E13B1B22CC8C}" name="Val" dataDxfId="59"/>
    <tableColumn id="3" xr3:uid="{0BFD6378-AD9E-42F9-8DEA-C9544BDFB20D}" name="Square" dataDxfId="5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91C1D-5EAD-4A32-BF2E-2A2C6D8CD60E}">
  <sheetPr codeName="Sheet1">
    <pageSetUpPr fitToPage="1"/>
  </sheetPr>
  <dimension ref="A1:Y73"/>
  <sheetViews>
    <sheetView showGridLines="0" tabSelected="1" zoomScaleNormal="100" workbookViewId="0">
      <selection activeCell="J11" sqref="J11:M11"/>
    </sheetView>
  </sheetViews>
  <sheetFormatPr defaultRowHeight="15" x14ac:dyDescent="0.25"/>
  <cols>
    <col min="1" max="1" width="2.28515625" style="1" customWidth="1"/>
    <col min="2" max="2" width="1.140625" style="1" customWidth="1"/>
    <col min="3" max="3" width="9.140625" style="1" customWidth="1"/>
    <col min="4" max="4" width="4" style="1" customWidth="1"/>
    <col min="5" max="5" width="5.140625" style="1" customWidth="1"/>
    <col min="6" max="6" width="8.28515625" style="1" customWidth="1"/>
    <col min="7" max="7" width="6.5703125" style="1" customWidth="1"/>
    <col min="8" max="8" width="22.5703125" style="2" customWidth="1"/>
    <col min="9" max="9" width="1.42578125" style="1" customWidth="1"/>
    <col min="10" max="10" width="3.140625" style="4" customWidth="1"/>
    <col min="11" max="11" width="9.28515625" style="4" customWidth="1"/>
    <col min="12" max="12" width="7" style="4" customWidth="1"/>
    <col min="13" max="13" width="9.7109375" style="4" customWidth="1"/>
    <col min="14" max="14" width="1.42578125" style="1" customWidth="1"/>
    <col min="15" max="15" width="9.5703125" style="1" customWidth="1"/>
    <col min="16" max="17" width="1.7109375" style="1" customWidth="1"/>
    <col min="18" max="18" width="9.140625" hidden="1" customWidth="1"/>
  </cols>
  <sheetData>
    <row r="1" spans="1:25" ht="9.9499999999999993" customHeight="1" x14ac:dyDescent="0.25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57" t="s">
        <v>162</v>
      </c>
      <c r="N1" s="157"/>
      <c r="O1" s="157"/>
      <c r="P1" s="157"/>
      <c r="Q1" s="157"/>
    </row>
    <row r="2" spans="1:25" x14ac:dyDescent="0.2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</row>
    <row r="3" spans="1:25" x14ac:dyDescent="0.2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Y3" s="8"/>
    </row>
    <row r="4" spans="1:25" x14ac:dyDescent="0.25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Y4" s="8"/>
    </row>
    <row r="5" spans="1:25" x14ac:dyDescent="0.25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Y5" s="8"/>
    </row>
    <row r="6" spans="1:25" ht="24.95" customHeight="1" x14ac:dyDescent="0.25">
      <c r="A6" s="176" t="s">
        <v>141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Y6" s="8"/>
    </row>
    <row r="7" spans="1:25" ht="5.0999999999999996" customHeight="1" x14ac:dyDescent="0.25">
      <c r="A7" s="106"/>
      <c r="B7" s="106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88"/>
      <c r="N7" s="188"/>
      <c r="O7" s="188"/>
      <c r="P7" s="188"/>
      <c r="Q7" s="188"/>
      <c r="Y7" s="8"/>
    </row>
    <row r="8" spans="1:25" ht="5.0999999999999996" customHeight="1" x14ac:dyDescent="0.25">
      <c r="A8" s="107"/>
      <c r="B8" s="107"/>
      <c r="C8" s="107"/>
      <c r="D8" s="107"/>
      <c r="E8" s="107"/>
      <c r="F8" s="107"/>
      <c r="J8"/>
      <c r="K8"/>
      <c r="L8"/>
      <c r="M8"/>
      <c r="N8"/>
      <c r="O8"/>
      <c r="P8"/>
      <c r="Q8"/>
      <c r="R8" s="8"/>
    </row>
    <row r="9" spans="1:25" ht="15" customHeight="1" x14ac:dyDescent="0.3">
      <c r="A9" s="107"/>
      <c r="B9" s="159" t="s">
        <v>142</v>
      </c>
      <c r="C9" s="159"/>
      <c r="D9" s="159"/>
      <c r="E9" s="159"/>
      <c r="F9" s="120"/>
      <c r="G9" s="97" t="s">
        <v>68</v>
      </c>
      <c r="H9" s="88" t="s">
        <v>143</v>
      </c>
      <c r="J9"/>
      <c r="K9"/>
      <c r="L9"/>
      <c r="M9" s="8"/>
      <c r="N9"/>
      <c r="O9"/>
      <c r="P9"/>
      <c r="Q9"/>
    </row>
    <row r="10" spans="1:25" ht="5.0999999999999996" customHeight="1" x14ac:dyDescent="0.25">
      <c r="A10" s="107"/>
      <c r="B10" s="159"/>
      <c r="C10" s="159"/>
      <c r="D10" s="159"/>
      <c r="E10" s="159"/>
      <c r="F10" s="120"/>
      <c r="G10" s="103"/>
      <c r="I10" s="88"/>
      <c r="J10"/>
      <c r="K10"/>
      <c r="L10"/>
      <c r="M10"/>
      <c r="N10"/>
      <c r="O10"/>
      <c r="P10"/>
      <c r="Q10"/>
      <c r="R10" s="8"/>
    </row>
    <row r="11" spans="1:25" ht="15" customHeight="1" x14ac:dyDescent="0.3">
      <c r="A11" s="107"/>
      <c r="B11" s="159"/>
      <c r="C11" s="159"/>
      <c r="D11" s="159"/>
      <c r="E11" s="159"/>
      <c r="F11" s="120"/>
      <c r="G11" s="98" t="s">
        <v>69</v>
      </c>
      <c r="H11" s="88" t="s">
        <v>144</v>
      </c>
      <c r="J11" s="163"/>
      <c r="K11" s="164"/>
      <c r="L11" s="164"/>
      <c r="M11" s="165"/>
      <c r="O11" s="148" t="str">
        <f>IF(J11=0,"*Välj önskad klass"," ")</f>
        <v>*Välj önskad klass</v>
      </c>
      <c r="P11" s="148"/>
      <c r="Q11" s="148"/>
      <c r="Y11" s="8"/>
    </row>
    <row r="12" spans="1:25" ht="5.0999999999999996" customHeight="1" x14ac:dyDescent="0.25">
      <c r="A12" s="107"/>
      <c r="B12" s="159"/>
      <c r="C12" s="159"/>
      <c r="D12" s="159"/>
      <c r="E12" s="159"/>
      <c r="F12" s="120"/>
      <c r="G12" s="103"/>
      <c r="J12"/>
      <c r="K12"/>
      <c r="L12"/>
      <c r="M12"/>
      <c r="N12"/>
      <c r="O12" s="124"/>
      <c r="P12" s="124"/>
      <c r="Q12" s="124"/>
      <c r="R12" s="8"/>
    </row>
    <row r="13" spans="1:25" ht="15" customHeight="1" x14ac:dyDescent="0.3">
      <c r="A13" s="107"/>
      <c r="B13" s="159"/>
      <c r="C13" s="159"/>
      <c r="D13" s="159"/>
      <c r="E13" s="159"/>
      <c r="F13" s="120"/>
      <c r="G13" s="99" t="s">
        <v>59</v>
      </c>
      <c r="H13" s="88" t="s">
        <v>145</v>
      </c>
      <c r="J13"/>
      <c r="K13"/>
      <c r="L13"/>
      <c r="M13"/>
      <c r="N13"/>
      <c r="O13" s="124"/>
      <c r="P13" s="124"/>
      <c r="Q13" s="124"/>
      <c r="R13" s="8"/>
    </row>
    <row r="14" spans="1:25" ht="5.25" customHeight="1" x14ac:dyDescent="0.25">
      <c r="A14" s="107"/>
      <c r="B14" s="120"/>
      <c r="C14" s="120"/>
      <c r="D14" s="120"/>
      <c r="E14" s="120"/>
      <c r="F14" s="120"/>
      <c r="O14" s="124"/>
      <c r="P14" s="124"/>
      <c r="Q14" s="124"/>
      <c r="Y14" s="8"/>
    </row>
    <row r="15" spans="1:25" s="3" customFormat="1" ht="15" customHeight="1" x14ac:dyDescent="0.25">
      <c r="A15" s="108"/>
      <c r="B15" s="159" t="s">
        <v>150</v>
      </c>
      <c r="C15" s="159"/>
      <c r="D15" s="159"/>
      <c r="E15" s="159"/>
      <c r="F15" s="159"/>
      <c r="G15" s="104"/>
      <c r="H15" s="2" t="s">
        <v>26</v>
      </c>
      <c r="I15" s="88"/>
      <c r="J15" s="163"/>
      <c r="K15" s="164"/>
      <c r="L15" s="164"/>
      <c r="M15" s="165"/>
      <c r="N15" s="88"/>
      <c r="O15" s="187" t="str">
        <f>IF(((J15=0)*AND(J17=0)),"*Fyll i vikt för bil efter målgång, samt för förare inkl. utrustning (kg)",IF(((J15&gt;0)*AND(J17=0)),"*Fyll i vikt för förare inkl. utrustning (kg)",IF(((J15=0)*AND(J17&gt;0)),"*Fyll i vikt för bil efter målgång (kg)","")))</f>
        <v>*Fyll i vikt för bil efter målgång, samt för förare inkl. utrustning (kg)</v>
      </c>
      <c r="P15" s="187"/>
      <c r="Q15" s="187"/>
      <c r="Y15" s="8"/>
    </row>
    <row r="16" spans="1:25" s="3" customFormat="1" ht="5.0999999999999996" customHeight="1" x14ac:dyDescent="0.25">
      <c r="A16" s="108"/>
      <c r="B16" s="159"/>
      <c r="C16" s="159"/>
      <c r="D16" s="159"/>
      <c r="E16" s="159"/>
      <c r="F16" s="159"/>
      <c r="G16" s="104"/>
      <c r="H16" s="2"/>
      <c r="I16" s="88"/>
      <c r="J16" s="4"/>
      <c r="K16" s="4"/>
      <c r="L16" s="4"/>
      <c r="M16" s="4"/>
      <c r="N16" s="89"/>
      <c r="O16" s="187"/>
      <c r="P16" s="187"/>
      <c r="Q16" s="187"/>
      <c r="Y16" s="8"/>
    </row>
    <row r="17" spans="1:25" s="3" customFormat="1" ht="15" customHeight="1" x14ac:dyDescent="0.25">
      <c r="A17" s="108"/>
      <c r="B17" s="159"/>
      <c r="C17" s="159"/>
      <c r="D17" s="159"/>
      <c r="E17" s="159"/>
      <c r="F17" s="159"/>
      <c r="G17" s="104"/>
      <c r="H17" s="2" t="s">
        <v>27</v>
      </c>
      <c r="I17" s="88"/>
      <c r="J17" s="163"/>
      <c r="K17" s="164"/>
      <c r="L17" s="164"/>
      <c r="M17" s="165"/>
      <c r="N17" s="88"/>
      <c r="O17" s="187"/>
      <c r="P17" s="187"/>
      <c r="Q17" s="187"/>
      <c r="Y17" s="8"/>
    </row>
    <row r="18" spans="1:25" s="3" customFormat="1" x14ac:dyDescent="0.25">
      <c r="A18" s="108"/>
      <c r="B18" s="121"/>
      <c r="C18" s="121"/>
      <c r="D18" s="121"/>
      <c r="E18" s="121"/>
      <c r="F18" s="121"/>
      <c r="G18" s="105"/>
      <c r="H18" s="2"/>
      <c r="I18" s="88"/>
      <c r="J18" s="4"/>
      <c r="K18" s="4"/>
      <c r="L18" s="4"/>
      <c r="M18" s="4"/>
      <c r="N18" s="88"/>
      <c r="O18" s="187"/>
      <c r="P18" s="187"/>
      <c r="Q18" s="187"/>
      <c r="Y18" s="8"/>
    </row>
    <row r="19" spans="1:25" s="3" customFormat="1" x14ac:dyDescent="0.25">
      <c r="A19" s="108"/>
      <c r="B19" s="159" t="s">
        <v>28</v>
      </c>
      <c r="C19" s="159"/>
      <c r="D19" s="159"/>
      <c r="E19" s="159"/>
      <c r="F19" s="121"/>
      <c r="G19" s="105"/>
      <c r="H19" s="2" t="s">
        <v>29</v>
      </c>
      <c r="I19" s="88"/>
      <c r="J19" s="184" t="str" cm="1">
        <f t="array" ref="J19">IF(J15&gt;0,INDEX(Variabler!B4:B15,O19)," ")</f>
        <v xml:space="preserve"> </v>
      </c>
      <c r="K19" s="185"/>
      <c r="L19" s="185"/>
      <c r="M19" s="186"/>
      <c r="N19" s="90">
        <f>IF(J68&lt;_185,1,IF(J68&lt;_195,2,IF(J68&lt;_205,3,IF(J68&lt;_215,4,IF(J68&lt;_225,5,IF(J68&lt;_235,6,IF(J68&lt;_245,7,IF(J68&lt;_255,8,IF(J68&lt;_265,9,IF(J68&lt;_275,10,IF(J68&lt;_285,11,12)))))))))))</f>
        <v>12</v>
      </c>
      <c r="O19" s="131">
        <f>IF(J68&lt;_185,1,IF(J68&lt;_195,2,IF(J68&lt;_205,3,IF(J68&lt;_215,4,IF(J68&lt;_225,5,IF(J68&lt;_235,6,IF(J68&lt;_245,7,IF(J68&lt;_255,8,IF(J68&lt;_265,9,IF(J68&lt;_275,10,IF(J68&lt;_285,11,12)))))))))))</f>
        <v>12</v>
      </c>
      <c r="P19" s="132"/>
      <c r="Q19" s="132"/>
      <c r="Y19" s="8"/>
    </row>
    <row r="20" spans="1:25" s="3" customFormat="1" ht="5.0999999999999996" customHeight="1" x14ac:dyDescent="0.25">
      <c r="A20" s="108"/>
      <c r="B20" s="159"/>
      <c r="C20" s="159"/>
      <c r="D20" s="159"/>
      <c r="E20" s="159"/>
      <c r="F20" s="121"/>
      <c r="G20" s="105"/>
      <c r="H20" s="2"/>
      <c r="I20" s="88"/>
      <c r="J20" s="4"/>
      <c r="K20" s="4"/>
      <c r="L20" s="4"/>
      <c r="M20" s="4"/>
      <c r="N20" s="88"/>
      <c r="O20" s="132"/>
      <c r="P20" s="132"/>
      <c r="Q20" s="132"/>
      <c r="Y20" s="8"/>
    </row>
    <row r="21" spans="1:25" s="3" customFormat="1" ht="14.25" customHeight="1" x14ac:dyDescent="0.25">
      <c r="A21" s="108"/>
      <c r="B21" s="159"/>
      <c r="C21" s="159"/>
      <c r="D21" s="159"/>
      <c r="E21" s="159"/>
      <c r="F21" s="121"/>
      <c r="G21" s="105"/>
      <c r="H21" s="2" t="s">
        <v>35</v>
      </c>
      <c r="I21" s="88"/>
      <c r="J21" s="181"/>
      <c r="K21" s="182"/>
      <c r="L21" s="182"/>
      <c r="M21" s="183"/>
      <c r="N21" s="90">
        <f>IF(J21=185,1,IF(J21=195,2,IF(J21=205,3,IF(J21=215,4,IF(J21=225,5,IF(J21=235,6,IF(J21=245,7,IF(J21=255,8,IF(J21=265,9,IF(J21=275,10,IF(J21=285,11,12)))))))))))</f>
        <v>12</v>
      </c>
      <c r="O21" s="133" t="str">
        <f>IF(J21=0,"*Välj bredd",(Beräkning!F3))</f>
        <v>*Välj bredd</v>
      </c>
      <c r="P21" s="135"/>
      <c r="Q21" s="135"/>
      <c r="Y21" s="8"/>
    </row>
    <row r="22" spans="1:25" s="3" customFormat="1" x14ac:dyDescent="0.25">
      <c r="A22" s="108"/>
      <c r="B22" s="121"/>
      <c r="C22" s="121"/>
      <c r="D22" s="121"/>
      <c r="E22" s="121"/>
      <c r="F22" s="121"/>
      <c r="G22" s="105"/>
      <c r="H22" s="2"/>
      <c r="I22" s="88"/>
      <c r="J22" s="4"/>
      <c r="K22" s="4"/>
      <c r="L22" s="4"/>
      <c r="M22" s="4"/>
      <c r="N22" s="88"/>
      <c r="O22" s="136"/>
      <c r="P22" s="135"/>
      <c r="Q22" s="135"/>
      <c r="Y22" s="8"/>
    </row>
    <row r="23" spans="1:25" s="3" customFormat="1" ht="15" customHeight="1" x14ac:dyDescent="0.25">
      <c r="A23" s="108"/>
      <c r="B23" s="159" t="s">
        <v>4</v>
      </c>
      <c r="C23" s="159"/>
      <c r="D23" s="159"/>
      <c r="E23" s="159"/>
      <c r="F23" s="121"/>
      <c r="G23" s="125"/>
      <c r="H23" s="2" t="s">
        <v>15</v>
      </c>
      <c r="I23" s="88"/>
      <c r="J23" s="149"/>
      <c r="K23" s="150"/>
      <c r="L23" s="150"/>
      <c r="M23" s="151"/>
      <c r="N23" s="88"/>
      <c r="O23" s="137" t="str">
        <f>IF(J23=0,"*Välj drivning",IF(J23="Framhjulsdrift",FWD,IF(J23="Fyrhjulsdrift",AWD,"")))</f>
        <v>*Välj drivning</v>
      </c>
      <c r="P23" s="135"/>
      <c r="Q23" s="135"/>
      <c r="Y23" s="8"/>
    </row>
    <row r="24" spans="1:25" s="3" customFormat="1" ht="5.0999999999999996" customHeight="1" x14ac:dyDescent="0.25">
      <c r="A24" s="108"/>
      <c r="B24" s="159"/>
      <c r="C24" s="159"/>
      <c r="D24" s="159"/>
      <c r="E24" s="159"/>
      <c r="F24" s="121"/>
      <c r="G24" s="125"/>
      <c r="H24" s="2"/>
      <c r="I24" s="88"/>
      <c r="J24" s="4"/>
      <c r="K24" s="4"/>
      <c r="L24" s="4"/>
      <c r="M24" s="4"/>
      <c r="N24" s="88"/>
      <c r="O24" s="136"/>
      <c r="P24" s="135"/>
      <c r="Q24" s="135"/>
      <c r="Y24" s="8"/>
    </row>
    <row r="25" spans="1:25" s="3" customFormat="1" ht="15" customHeight="1" x14ac:dyDescent="0.25">
      <c r="A25" s="108"/>
      <c r="B25" s="159"/>
      <c r="C25" s="159"/>
      <c r="D25" s="159"/>
      <c r="E25" s="159"/>
      <c r="F25" s="121"/>
      <c r="G25" s="125"/>
      <c r="H25" s="2" t="str" cm="1">
        <f t="array" ref="H25">_xlfn._xlws.FILTER(Val!L4:M8,Val!K4:K8=J23,"")</f>
        <v/>
      </c>
      <c r="I25" s="91"/>
      <c r="J25" s="94"/>
      <c r="K25" s="4"/>
      <c r="L25" s="4"/>
      <c r="M25" s="4"/>
      <c r="N25" s="88"/>
      <c r="O25" s="136" t="str">
        <f>IF(J25="x",Rörramschassi,"")</f>
        <v/>
      </c>
      <c r="P25" s="135"/>
      <c r="Q25" s="135"/>
      <c r="Y25" s="8"/>
    </row>
    <row r="26" spans="1:25" s="3" customFormat="1" ht="5.0999999999999996" customHeight="1" x14ac:dyDescent="0.25">
      <c r="A26" s="108"/>
      <c r="B26" s="119"/>
      <c r="C26" s="119"/>
      <c r="D26" s="119"/>
      <c r="E26" s="119"/>
      <c r="F26" s="121"/>
      <c r="G26" s="125"/>
      <c r="H26" s="92"/>
      <c r="I26" s="91"/>
      <c r="J26" s="4"/>
      <c r="K26" s="4"/>
      <c r="L26" s="4"/>
      <c r="M26" s="4"/>
      <c r="N26" s="88"/>
      <c r="O26" s="136"/>
      <c r="P26" s="135"/>
      <c r="Q26" s="135"/>
      <c r="Y26" s="8"/>
    </row>
    <row r="27" spans="1:25" s="3" customFormat="1" ht="15" customHeight="1" x14ac:dyDescent="0.25">
      <c r="A27" s="108"/>
      <c r="B27" s="119"/>
      <c r="C27" s="119"/>
      <c r="D27" s="119"/>
      <c r="E27" s="119"/>
      <c r="F27" s="121"/>
      <c r="G27" s="125"/>
      <c r="H27" s="2"/>
      <c r="I27" s="91"/>
      <c r="J27" s="126"/>
      <c r="K27" s="4"/>
      <c r="L27" s="4"/>
      <c r="M27" s="4"/>
      <c r="N27" s="88"/>
      <c r="O27" s="134" t="str">
        <f>IF(J23="Bakhjulsdrift",IF(J27="x",Stel_bakaxel,""),"")</f>
        <v/>
      </c>
      <c r="P27" s="135"/>
      <c r="Q27" s="135"/>
      <c r="S27" s="123"/>
      <c r="Y27" s="8"/>
    </row>
    <row r="28" spans="1:25" s="3" customFormat="1" ht="15" customHeight="1" x14ac:dyDescent="0.25">
      <c r="A28" s="108"/>
      <c r="B28" s="119"/>
      <c r="C28" s="119"/>
      <c r="D28" s="119"/>
      <c r="E28" s="119"/>
      <c r="F28" s="121"/>
      <c r="G28" s="105"/>
      <c r="H28" s="92"/>
      <c r="I28" s="91"/>
      <c r="J28" s="4"/>
      <c r="K28" s="4"/>
      <c r="L28" s="4"/>
      <c r="M28" s="4"/>
      <c r="N28" s="88"/>
      <c r="O28" s="136"/>
      <c r="P28" s="135"/>
      <c r="Q28" s="135"/>
      <c r="S28" s="123"/>
      <c r="Y28" s="8"/>
    </row>
    <row r="29" spans="1:25" s="3" customFormat="1" ht="15" customHeight="1" x14ac:dyDescent="0.25">
      <c r="A29" s="108"/>
      <c r="B29" s="159" t="s">
        <v>8</v>
      </c>
      <c r="C29" s="159"/>
      <c r="D29" s="159"/>
      <c r="E29" s="159"/>
      <c r="F29" s="159"/>
      <c r="G29" s="103"/>
      <c r="H29" s="2" t="s">
        <v>5</v>
      </c>
      <c r="I29" s="88"/>
      <c r="J29" s="93"/>
      <c r="K29" s="4"/>
      <c r="L29" s="4"/>
      <c r="M29" s="4"/>
      <c r="N29" s="88"/>
      <c r="O29" s="136" t="str">
        <f>IF(J29="x",ABS,"")</f>
        <v/>
      </c>
      <c r="P29" s="135"/>
      <c r="Q29" s="135"/>
      <c r="Y29" s="8"/>
    </row>
    <row r="30" spans="1:25" s="3" customFormat="1" ht="5.0999999999999996" customHeight="1" x14ac:dyDescent="0.25">
      <c r="A30" s="108"/>
      <c r="B30" s="159"/>
      <c r="C30" s="159"/>
      <c r="D30" s="159"/>
      <c r="E30" s="159"/>
      <c r="F30" s="159"/>
      <c r="G30" s="103"/>
      <c r="H30" s="2"/>
      <c r="I30" s="88"/>
      <c r="J30" s="4"/>
      <c r="K30" s="4"/>
      <c r="L30" s="4"/>
      <c r="M30" s="4"/>
      <c r="N30" s="88"/>
      <c r="O30" s="136"/>
      <c r="P30" s="135"/>
      <c r="Q30" s="135"/>
      <c r="Y30" s="8"/>
    </row>
    <row r="31" spans="1:25" s="3" customFormat="1" ht="15" customHeight="1" x14ac:dyDescent="0.25">
      <c r="A31" s="108"/>
      <c r="B31" s="159"/>
      <c r="C31" s="159"/>
      <c r="D31" s="159"/>
      <c r="E31" s="159"/>
      <c r="F31" s="159"/>
      <c r="G31" s="103"/>
      <c r="H31" s="2" t="s">
        <v>137</v>
      </c>
      <c r="I31" s="88"/>
      <c r="J31" s="152"/>
      <c r="K31" s="153"/>
      <c r="L31" s="153"/>
      <c r="M31" s="154"/>
      <c r="N31" s="88"/>
      <c r="O31" s="136" t="str">
        <f>IF(J31="Manuell",Ej_diffbroms,IF(J31="Sekventiell",Snabbväxlingslåda,""))</f>
        <v/>
      </c>
      <c r="P31" s="135"/>
      <c r="Q31" s="135"/>
      <c r="Y31" s="8"/>
    </row>
    <row r="32" spans="1:25" s="3" customFormat="1" x14ac:dyDescent="0.25">
      <c r="A32" s="108"/>
      <c r="B32" s="121"/>
      <c r="C32" s="121"/>
      <c r="D32" s="121"/>
      <c r="E32" s="121"/>
      <c r="F32" s="121"/>
      <c r="G32" s="105"/>
      <c r="H32" s="2"/>
      <c r="I32" s="88"/>
      <c r="J32" s="4"/>
      <c r="K32" s="4"/>
      <c r="L32" s="4"/>
      <c r="M32" s="4"/>
      <c r="N32" s="88"/>
      <c r="O32" s="136"/>
      <c r="P32" s="135"/>
      <c r="Q32" s="135"/>
      <c r="Y32" s="8"/>
    </row>
    <row r="33" spans="1:25" s="3" customFormat="1" ht="15" customHeight="1" x14ac:dyDescent="0.25">
      <c r="A33" s="108"/>
      <c r="B33" s="159" t="s">
        <v>9</v>
      </c>
      <c r="C33" s="159"/>
      <c r="D33" s="159"/>
      <c r="E33" s="159"/>
      <c r="F33" s="159"/>
      <c r="G33" s="103"/>
      <c r="H33" s="2" t="s">
        <v>10</v>
      </c>
      <c r="I33" s="88"/>
      <c r="J33" s="93"/>
      <c r="K33" s="4"/>
      <c r="L33" s="4"/>
      <c r="M33" s="4"/>
      <c r="N33" s="88"/>
      <c r="O33" s="136" t="str">
        <f>IF(J33="x",Splitter,"")</f>
        <v/>
      </c>
      <c r="P33" s="135"/>
      <c r="Q33" s="135"/>
      <c r="Y33" s="8"/>
    </row>
    <row r="34" spans="1:25" s="3" customFormat="1" ht="5.0999999999999996" customHeight="1" x14ac:dyDescent="0.25">
      <c r="A34" s="108"/>
      <c r="B34" s="159"/>
      <c r="C34" s="159"/>
      <c r="D34" s="159"/>
      <c r="E34" s="159"/>
      <c r="F34" s="159"/>
      <c r="G34" s="103"/>
      <c r="H34" s="2"/>
      <c r="I34" s="88"/>
      <c r="J34" s="4"/>
      <c r="K34" s="4"/>
      <c r="L34" s="4"/>
      <c r="M34" s="4"/>
      <c r="N34" s="88"/>
      <c r="O34" s="136"/>
      <c r="P34" s="135"/>
      <c r="Q34" s="135"/>
      <c r="Y34" s="8"/>
    </row>
    <row r="35" spans="1:25" s="3" customFormat="1" ht="15" customHeight="1" x14ac:dyDescent="0.25">
      <c r="A35" s="108"/>
      <c r="B35" s="159"/>
      <c r="C35" s="159"/>
      <c r="D35" s="159"/>
      <c r="E35" s="159"/>
      <c r="F35" s="159"/>
      <c r="G35" s="103"/>
      <c r="H35" s="2" t="s">
        <v>11</v>
      </c>
      <c r="I35" s="88"/>
      <c r="J35" s="93"/>
      <c r="K35" s="4"/>
      <c r="L35" s="4"/>
      <c r="M35" s="4"/>
      <c r="N35" s="88"/>
      <c r="O35" s="136" t="str">
        <f>IF(J35="x",Slätt_golv,"")</f>
        <v/>
      </c>
      <c r="P35" s="135"/>
      <c r="Q35" s="135"/>
      <c r="Y35" s="8"/>
    </row>
    <row r="36" spans="1:25" s="3" customFormat="1" ht="5.0999999999999996" customHeight="1" x14ac:dyDescent="0.25">
      <c r="A36" s="108"/>
      <c r="B36" s="121"/>
      <c r="C36" s="121"/>
      <c r="D36" s="121"/>
      <c r="E36" s="121"/>
      <c r="F36" s="121"/>
      <c r="G36" s="105"/>
      <c r="H36" s="2"/>
      <c r="I36" s="88"/>
      <c r="J36" s="4"/>
      <c r="K36" s="4"/>
      <c r="L36" s="4"/>
      <c r="M36" s="4"/>
      <c r="N36" s="88"/>
      <c r="O36" s="136"/>
      <c r="P36" s="135"/>
      <c r="Q36" s="135"/>
      <c r="Y36" s="8"/>
    </row>
    <row r="37" spans="1:25" s="3" customFormat="1" x14ac:dyDescent="0.25">
      <c r="A37" s="108"/>
      <c r="B37" s="121"/>
      <c r="C37" s="121"/>
      <c r="D37" s="121"/>
      <c r="E37" s="121"/>
      <c r="F37" s="121"/>
      <c r="G37" s="105"/>
      <c r="H37" s="2" t="s">
        <v>60</v>
      </c>
      <c r="I37" s="88"/>
      <c r="J37" s="93"/>
      <c r="K37" s="4"/>
      <c r="L37" s="4"/>
      <c r="M37" s="4"/>
      <c r="N37" s="88"/>
      <c r="O37" s="136" t="str">
        <f>IF(J37="x",Spoiler,"")</f>
        <v/>
      </c>
      <c r="P37" s="135"/>
      <c r="Q37" s="135"/>
      <c r="Y37" s="8"/>
    </row>
    <row r="38" spans="1:25" s="3" customFormat="1" ht="5.0999999999999996" customHeight="1" x14ac:dyDescent="0.25">
      <c r="A38" s="108"/>
      <c r="B38" s="121"/>
      <c r="C38" s="121"/>
      <c r="D38" s="121"/>
      <c r="E38" s="121"/>
      <c r="F38" s="121"/>
      <c r="G38" s="105"/>
      <c r="H38" s="2"/>
      <c r="I38" s="88"/>
      <c r="J38" s="4"/>
      <c r="K38" s="4"/>
      <c r="L38" s="4"/>
      <c r="M38" s="4"/>
      <c r="N38" s="88"/>
      <c r="O38" s="136"/>
      <c r="P38" s="135"/>
      <c r="Q38" s="135"/>
      <c r="Y38" s="8"/>
    </row>
    <row r="39" spans="1:25" s="3" customFormat="1" x14ac:dyDescent="0.25">
      <c r="A39" s="108"/>
      <c r="B39" s="121"/>
      <c r="C39" s="121"/>
      <c r="D39" s="121"/>
      <c r="E39" s="121"/>
      <c r="F39" s="121"/>
      <c r="G39" s="105"/>
      <c r="H39" s="2" t="s">
        <v>61</v>
      </c>
      <c r="I39" s="88"/>
      <c r="J39" s="93"/>
      <c r="K39" s="4"/>
      <c r="L39" s="4"/>
      <c r="M39" s="4"/>
      <c r="N39" s="88"/>
      <c r="O39" s="136" t="str">
        <f>IF(J39="x",Vinge,"")</f>
        <v/>
      </c>
      <c r="P39" s="135"/>
      <c r="Q39" s="135"/>
      <c r="Y39" s="8"/>
    </row>
    <row r="40" spans="1:25" s="3" customFormat="1" ht="5.0999999999999996" customHeight="1" x14ac:dyDescent="0.25">
      <c r="A40" s="108"/>
      <c r="B40" s="121"/>
      <c r="C40" s="121"/>
      <c r="D40" s="121"/>
      <c r="E40" s="121"/>
      <c r="F40" s="121"/>
      <c r="G40" s="105"/>
      <c r="H40" s="2"/>
      <c r="I40" s="88"/>
      <c r="J40" s="4"/>
      <c r="K40" s="4"/>
      <c r="L40" s="4"/>
      <c r="M40" s="4"/>
      <c r="N40" s="88"/>
      <c r="O40" s="136"/>
      <c r="P40" s="135"/>
      <c r="Q40" s="135"/>
    </row>
    <row r="41" spans="1:25" s="3" customFormat="1" x14ac:dyDescent="0.25">
      <c r="A41" s="108"/>
      <c r="B41" s="121"/>
      <c r="C41" s="121"/>
      <c r="D41" s="121"/>
      <c r="E41" s="121"/>
      <c r="F41" s="121"/>
      <c r="G41" s="105"/>
      <c r="H41" s="2" t="s">
        <v>13</v>
      </c>
      <c r="I41" s="88"/>
      <c r="J41" s="93"/>
      <c r="K41" s="4"/>
      <c r="L41" s="4"/>
      <c r="M41" s="4"/>
      <c r="N41" s="88"/>
      <c r="O41" s="136" t="str">
        <f>IF(J41="x",Diffuser,"")</f>
        <v/>
      </c>
      <c r="P41" s="135"/>
      <c r="Q41" s="135"/>
    </row>
    <row r="42" spans="1:25" s="3" customFormat="1" x14ac:dyDescent="0.25">
      <c r="A42" s="108"/>
      <c r="B42" s="121"/>
      <c r="C42" s="121"/>
      <c r="D42" s="121"/>
      <c r="E42" s="121"/>
      <c r="F42" s="121"/>
      <c r="G42" s="105"/>
      <c r="H42" s="2"/>
      <c r="I42" s="88"/>
      <c r="J42" s="4"/>
      <c r="K42" s="4"/>
      <c r="L42" s="4"/>
      <c r="M42" s="4"/>
      <c r="N42" s="88"/>
      <c r="O42" s="135"/>
      <c r="P42" s="135"/>
      <c r="Q42" s="135"/>
    </row>
    <row r="43" spans="1:25" ht="15" customHeight="1" x14ac:dyDescent="0.25">
      <c r="A43" s="107"/>
      <c r="B43" s="159" t="s">
        <v>0</v>
      </c>
      <c r="C43" s="159"/>
      <c r="D43" s="159"/>
      <c r="E43" s="159"/>
      <c r="F43" s="159"/>
      <c r="G43" s="103"/>
      <c r="H43" s="2" t="s">
        <v>160</v>
      </c>
      <c r="I43" s="91"/>
      <c r="J43" s="145"/>
      <c r="K43" s="146"/>
      <c r="L43" s="146"/>
      <c r="M43" s="147"/>
      <c r="O43" s="137" t="str">
        <f>IF(J43="Bensin","",IF(J43="Race",Race,IF(J43="E85",E85_,IF(J43="Diesel",Diesel,"*Välj drivmedel"))))</f>
        <v>*Välj drivmedel</v>
      </c>
      <c r="P43" s="138"/>
      <c r="Q43" s="138"/>
      <c r="U43" s="3"/>
      <c r="V43" s="3"/>
      <c r="W43" s="3"/>
    </row>
    <row r="44" spans="1:25" ht="5.0999999999999996" customHeight="1" x14ac:dyDescent="0.25">
      <c r="A44" s="107"/>
      <c r="B44" s="159"/>
      <c r="C44" s="159"/>
      <c r="D44" s="159"/>
      <c r="E44" s="159"/>
      <c r="F44" s="159"/>
      <c r="G44" s="103"/>
      <c r="I44" s="91"/>
      <c r="O44" s="138"/>
      <c r="P44" s="138"/>
      <c r="Q44" s="138"/>
      <c r="U44" s="3"/>
      <c r="V44" s="3"/>
      <c r="W44" s="3"/>
    </row>
    <row r="45" spans="1:25" ht="15" customHeight="1" x14ac:dyDescent="0.25">
      <c r="A45" s="107"/>
      <c r="B45" s="159"/>
      <c r="C45" s="159"/>
      <c r="D45" s="159"/>
      <c r="E45" s="159"/>
      <c r="F45" s="159"/>
      <c r="G45" s="103"/>
      <c r="H45" s="2" t="s">
        <v>18</v>
      </c>
      <c r="I45" s="91"/>
      <c r="J45" s="145"/>
      <c r="K45" s="146"/>
      <c r="L45" s="146"/>
      <c r="M45" s="147"/>
      <c r="O45" s="177" t="s">
        <v>131</v>
      </c>
      <c r="P45" s="177"/>
      <c r="Q45" s="177"/>
      <c r="U45" s="3"/>
      <c r="V45" s="3"/>
      <c r="W45" s="3"/>
    </row>
    <row r="46" spans="1:25" ht="5.0999999999999996" customHeight="1" x14ac:dyDescent="0.25">
      <c r="A46" s="107"/>
      <c r="B46" s="107"/>
      <c r="C46" s="107"/>
      <c r="D46" s="107"/>
      <c r="E46" s="107"/>
      <c r="F46" s="107"/>
      <c r="I46" s="91"/>
      <c r="O46" s="177"/>
      <c r="P46" s="177"/>
      <c r="Q46" s="177"/>
      <c r="U46" s="3"/>
      <c r="V46" s="3"/>
      <c r="W46" s="3"/>
    </row>
    <row r="47" spans="1:25" x14ac:dyDescent="0.25">
      <c r="A47" s="107"/>
      <c r="B47" s="107"/>
      <c r="C47" s="107"/>
      <c r="D47" s="107"/>
      <c r="E47" s="107"/>
      <c r="F47" s="107"/>
      <c r="H47" s="2" t="str" cm="1">
        <f t="array" ref="H47">_xlfn._xlws.FILTER(Val!D4:E15,Val!C4:C15=J45,"")</f>
        <v/>
      </c>
      <c r="I47" s="91"/>
      <c r="J47" s="178"/>
      <c r="K47" s="179"/>
      <c r="L47" s="179"/>
      <c r="M47" s="180"/>
      <c r="O47" s="139" t="str">
        <f>IF(J45="Trimmad","*Fyll i cylindervolym",IF(J45="Standard","*Fyll i originaleffekt",""))</f>
        <v/>
      </c>
      <c r="P47" s="138"/>
      <c r="Q47" s="138"/>
      <c r="R47" s="129" t="e">
        <f>Beräkning!AL3/Beräkning!AK3</f>
        <v>#DIV/0!</v>
      </c>
      <c r="U47" s="3"/>
      <c r="V47" s="3"/>
      <c r="W47" s="3"/>
    </row>
    <row r="48" spans="1:25" ht="5.0999999999999996" customHeight="1" x14ac:dyDescent="0.25">
      <c r="A48" s="107"/>
      <c r="B48" s="107"/>
      <c r="C48" s="107"/>
      <c r="D48" s="107"/>
      <c r="E48" s="107"/>
      <c r="F48" s="107"/>
      <c r="H48" s="92"/>
      <c r="I48" s="91"/>
      <c r="O48" s="138"/>
      <c r="P48" s="138"/>
      <c r="Q48" s="138"/>
    </row>
    <row r="49" spans="1:17" x14ac:dyDescent="0.25">
      <c r="A49" s="107"/>
      <c r="B49" s="107"/>
      <c r="C49" s="107"/>
      <c r="D49" s="107"/>
      <c r="E49" s="107"/>
      <c r="F49" s="107"/>
      <c r="I49" s="91"/>
      <c r="J49" s="167"/>
      <c r="K49" s="167"/>
      <c r="L49" s="167"/>
      <c r="M49" s="167"/>
      <c r="O49" s="139" t="str">
        <f>IF(J45="Trimmad","*Välj matning",IF(J45="Standard","*Välj matning",""))</f>
        <v/>
      </c>
      <c r="P49" s="138"/>
      <c r="Q49" s="138"/>
    </row>
    <row r="50" spans="1:17" ht="5.0999999999999996" customHeight="1" x14ac:dyDescent="0.25">
      <c r="A50" s="107"/>
      <c r="B50" s="107"/>
      <c r="C50" s="107"/>
      <c r="D50" s="107"/>
      <c r="E50" s="107"/>
      <c r="F50" s="107"/>
      <c r="H50" s="92"/>
      <c r="I50" s="91"/>
      <c r="O50" s="138"/>
      <c r="P50" s="138"/>
      <c r="Q50" s="138"/>
    </row>
    <row r="51" spans="1:17" x14ac:dyDescent="0.25">
      <c r="A51" s="107"/>
      <c r="B51" s="107"/>
      <c r="C51" s="107"/>
      <c r="D51" s="107"/>
      <c r="E51" s="107"/>
      <c r="F51" s="107"/>
      <c r="I51" s="91"/>
      <c r="J51" s="94"/>
      <c r="K51" s="168" t="s">
        <v>85</v>
      </c>
      <c r="L51" s="168"/>
      <c r="M51" s="168"/>
      <c r="O51" s="134" t="str">
        <f>IF(J45="Standard",(IF(J51="x",Planad_topp__1mm,"")),IF(J45="Trimmad",IF(ISTEXT(K51),"","*Välj topp"),""))</f>
        <v/>
      </c>
      <c r="P51" s="138"/>
      <c r="Q51" s="138"/>
    </row>
    <row r="52" spans="1:17" ht="5.0999999999999996" customHeight="1" x14ac:dyDescent="0.25">
      <c r="A52" s="107"/>
      <c r="B52" s="107"/>
      <c r="C52" s="107"/>
      <c r="D52" s="107"/>
      <c r="E52" s="107"/>
      <c r="F52" s="107"/>
      <c r="H52" s="92"/>
      <c r="I52" s="91"/>
      <c r="O52" s="136"/>
      <c r="P52" s="138"/>
      <c r="Q52" s="138"/>
    </row>
    <row r="53" spans="1:17" x14ac:dyDescent="0.25">
      <c r="A53" s="107"/>
      <c r="B53" s="107"/>
      <c r="C53" s="107"/>
      <c r="D53" s="107"/>
      <c r="E53" s="107"/>
      <c r="F53" s="107"/>
      <c r="I53" s="91"/>
      <c r="J53" s="94"/>
      <c r="K53" s="1"/>
      <c r="L53" s="1"/>
      <c r="M53" s="1"/>
      <c r="O53" s="134" t="str">
        <f>IF(J45="Trimmad","",IF(J45="Standard",IF(J53="x",Portad_topp,""),""))</f>
        <v/>
      </c>
      <c r="P53" s="138"/>
      <c r="Q53" s="138"/>
    </row>
    <row r="54" spans="1:17" ht="5.0999999999999996" customHeight="1" x14ac:dyDescent="0.25">
      <c r="A54" s="107"/>
      <c r="B54" s="107"/>
      <c r="C54" s="107"/>
      <c r="D54" s="107"/>
      <c r="E54" s="107"/>
      <c r="F54" s="107"/>
      <c r="H54" s="92"/>
      <c r="I54" s="91"/>
      <c r="O54" s="136"/>
      <c r="P54" s="138"/>
      <c r="Q54" s="138"/>
    </row>
    <row r="55" spans="1:17" x14ac:dyDescent="0.25">
      <c r="A55" s="107"/>
      <c r="B55" s="107"/>
      <c r="C55" s="107"/>
      <c r="D55" s="107"/>
      <c r="E55" s="107"/>
      <c r="F55" s="107"/>
      <c r="H55" s="2" t="str" cm="1">
        <f t="array" ref="H55">IF(J45="Standard",_xlfn._xlws.FILTER(Val!H4:I36,Val!G4:G36=J49,""),"")</f>
        <v/>
      </c>
      <c r="I55" s="91"/>
      <c r="J55" s="94"/>
      <c r="K55" s="1"/>
      <c r="L55" s="1"/>
      <c r="M55" s="1"/>
      <c r="O55" s="136" t="str">
        <f>IF(J45="Trimmad","",IF(J49="Förgasare 1 sp / 2 cyl",IF(J55="x",Monterad_katalysator,""),IF(J49="Förgasare 1 sp / 1 cyl",IF(J55="x",Monterad_katalysator,""),IF(J49="Insprutning",IF(J55="x",Monterad_katalysator,""),IF(J49="Kompressor",IF(J55="x",Trimchip_turbomotor,""),IF(J49="Turbo",IF(J55="x",Trimchip_turbomotor,""),""))))))</f>
        <v/>
      </c>
      <c r="P55" s="138"/>
      <c r="Q55" s="138"/>
    </row>
    <row r="56" spans="1:17" ht="5.0999999999999996" customHeight="1" x14ac:dyDescent="0.25">
      <c r="A56" s="107"/>
      <c r="B56" s="107"/>
      <c r="C56" s="107"/>
      <c r="D56" s="107"/>
      <c r="E56" s="107"/>
      <c r="F56" s="107"/>
      <c r="H56" s="92"/>
      <c r="I56" s="91"/>
      <c r="O56" s="136"/>
      <c r="P56" s="138"/>
      <c r="Q56" s="138"/>
    </row>
    <row r="57" spans="1:17" x14ac:dyDescent="0.25">
      <c r="A57" s="107"/>
      <c r="B57" s="107"/>
      <c r="C57" s="107"/>
      <c r="D57" s="107"/>
      <c r="E57" s="107"/>
      <c r="F57" s="107"/>
      <c r="I57" s="91"/>
      <c r="J57" s="94"/>
      <c r="K57" s="1"/>
      <c r="L57" s="1"/>
      <c r="M57" s="1"/>
      <c r="O57" s="136" t="str">
        <f>IF(J45="Trimmad","",IF(J49="Förgasare 1 sp / 2 cyl",IF(J57="x",Större_halsring_spridare,""),IF(J49="Förgasare 1 sp / 1 cyl",IF(J57="x",Större_halsring_spridare,""),IF(J49="Insprutning",IF(J57="x",Större_halsring_spridare,""),IF(J49="Kompressor",IF(J57="x",Programmerbart_sprut_turbomotor,""),IF(J49="Turbo",IF(J57="x",Programmerbart_sprut_turbomotor,""),""))))))</f>
        <v/>
      </c>
      <c r="P57" s="138"/>
      <c r="Q57" s="138"/>
    </row>
    <row r="58" spans="1:17" ht="5.0999999999999996" customHeight="1" x14ac:dyDescent="0.25">
      <c r="A58" s="107"/>
      <c r="B58" s="107"/>
      <c r="C58" s="107"/>
      <c r="D58" s="107"/>
      <c r="E58" s="107"/>
      <c r="F58" s="107"/>
      <c r="H58" s="92"/>
      <c r="I58" s="91"/>
      <c r="O58" s="136"/>
      <c r="P58" s="138"/>
      <c r="Q58" s="138"/>
    </row>
    <row r="59" spans="1:17" ht="15" customHeight="1" x14ac:dyDescent="0.25">
      <c r="A59" s="107"/>
      <c r="B59" s="107"/>
      <c r="C59" s="107"/>
      <c r="D59" s="107"/>
      <c r="E59" s="107"/>
      <c r="F59" s="107"/>
      <c r="I59" s="91"/>
      <c r="J59" s="94"/>
      <c r="K59" s="1"/>
      <c r="L59" s="1"/>
      <c r="M59" s="1"/>
      <c r="O59" s="134" t="str">
        <f>IF(J45="Trimmad","",IF(J49="Förgasare 1 sp / 2 cyl",IF(J59="x",Förändrad_tändkurva,""),IF(J49="Förgasare 1 sp / 1 cyl",IF(J59="x",Förändrad_tändkurva,""),IF(J49="Insprutning",IF(J59="x",Trimchip__fast_mapp__sugmotor,""),IF(J49="Kompressor",IF(J59="x",Ombyggd_IC,""),IF(J49="Turbo",IF(J59="x",Ombyggd_IC,""),""))))))</f>
        <v/>
      </c>
      <c r="P59" s="138"/>
      <c r="Q59" s="138"/>
    </row>
    <row r="60" spans="1:17" ht="5.0999999999999996" customHeight="1" x14ac:dyDescent="0.25">
      <c r="A60" s="107"/>
      <c r="B60" s="107"/>
      <c r="C60" s="107"/>
      <c r="D60" s="107"/>
      <c r="E60" s="107"/>
      <c r="F60" s="107"/>
      <c r="H60" s="92"/>
      <c r="I60" s="91"/>
      <c r="O60" s="136"/>
      <c r="P60" s="138"/>
      <c r="Q60" s="138"/>
    </row>
    <row r="61" spans="1:17" ht="15" customHeight="1" x14ac:dyDescent="0.25">
      <c r="A61" s="107"/>
      <c r="B61" s="107"/>
      <c r="C61" s="107"/>
      <c r="D61" s="107"/>
      <c r="E61" s="107"/>
      <c r="F61" s="107"/>
      <c r="I61" s="91"/>
      <c r="J61" s="94"/>
      <c r="K61" s="1"/>
      <c r="L61" s="1"/>
      <c r="M61" s="1"/>
      <c r="O61" s="134" t="str">
        <f>IF(J45="Trimmad","",IF(J49="Förgasare 1 sp / 2 cyl",IF(J61="x",Ej_original_grenrör,""),IF(J49="Förgasare 1 sp / 1 cyl",IF(J61="x",Ej_original_grenrör,""),IF(J49="Insprutning",IF(J61="x",Programmerbart_sprut_sugmotor,""),""))))</f>
        <v/>
      </c>
      <c r="P61" s="138"/>
      <c r="Q61" s="138"/>
    </row>
    <row r="62" spans="1:17" ht="5.0999999999999996" customHeight="1" x14ac:dyDescent="0.25">
      <c r="A62" s="107"/>
      <c r="B62" s="107"/>
      <c r="C62" s="107"/>
      <c r="D62" s="107"/>
      <c r="E62" s="107"/>
      <c r="F62" s="107"/>
      <c r="H62" s="92"/>
      <c r="I62" s="91"/>
      <c r="J62" s="1"/>
      <c r="K62" s="1"/>
      <c r="L62" s="1"/>
      <c r="M62" s="1"/>
      <c r="O62" s="136"/>
      <c r="P62" s="138"/>
      <c r="Q62" s="138"/>
    </row>
    <row r="63" spans="1:17" ht="15" customHeight="1" x14ac:dyDescent="0.25">
      <c r="A63" s="107"/>
      <c r="B63" s="107"/>
      <c r="C63" s="107"/>
      <c r="D63" s="107"/>
      <c r="E63" s="107"/>
      <c r="F63" s="107"/>
      <c r="I63" s="91"/>
      <c r="J63" s="94"/>
      <c r="K63" s="1"/>
      <c r="L63" s="1"/>
      <c r="M63" s="1"/>
      <c r="O63" s="140" t="str">
        <f>IF(J45="Trimmad","",IF(J49="Insprutning",IF(J63="x",Ej_original_grenrör,""),""))</f>
        <v/>
      </c>
      <c r="P63" s="141"/>
      <c r="Q63" s="141"/>
    </row>
    <row r="64" spans="1:17" ht="5.0999999999999996" customHeight="1" x14ac:dyDescent="0.25">
      <c r="A64" s="107"/>
      <c r="B64" s="107"/>
      <c r="C64" s="107"/>
      <c r="D64" s="107"/>
      <c r="E64" s="107"/>
      <c r="F64" s="107"/>
      <c r="I64" s="91"/>
      <c r="J64" s="94"/>
      <c r="K64" s="1"/>
      <c r="L64" s="1"/>
      <c r="M64" s="1"/>
      <c r="O64" s="95"/>
    </row>
    <row r="65" spans="1:17" ht="5.25" customHeight="1" x14ac:dyDescent="0.25">
      <c r="A65" s="106"/>
      <c r="B65" s="106"/>
      <c r="C65" s="106"/>
      <c r="D65" s="106"/>
      <c r="E65" s="106"/>
      <c r="F65" s="106"/>
      <c r="G65" s="106"/>
      <c r="H65" s="109"/>
      <c r="I65" s="110"/>
      <c r="J65" s="106"/>
      <c r="K65" s="106"/>
      <c r="L65" s="106"/>
      <c r="M65" s="106"/>
      <c r="N65" s="106"/>
      <c r="O65" s="106"/>
      <c r="P65" s="106"/>
      <c r="Q65" s="106"/>
    </row>
    <row r="66" spans="1:17" ht="15" customHeight="1" x14ac:dyDescent="0.25">
      <c r="A66" s="106"/>
      <c r="B66" s="166" t="s">
        <v>31</v>
      </c>
      <c r="C66" s="166"/>
      <c r="D66" s="166"/>
      <c r="E66" s="166"/>
      <c r="F66" s="111"/>
      <c r="G66" s="106"/>
      <c r="H66" s="109" t="s">
        <v>159</v>
      </c>
      <c r="I66" s="106"/>
      <c r="J66" s="155" t="str">
        <f>IFERROR(Jämförelse!C3,"-")</f>
        <v/>
      </c>
      <c r="K66" s="156"/>
      <c r="L66" s="112"/>
      <c r="M66" s="113" t="s">
        <v>133</v>
      </c>
      <c r="N66" s="160" t="str">
        <f>IF(J47&gt;0,IF(J45="Standard",((N68/J47)-1),SUM(O21:O63)),"")</f>
        <v/>
      </c>
      <c r="O66" s="161"/>
      <c r="P66" s="162"/>
      <c r="Q66" s="106"/>
    </row>
    <row r="67" spans="1:17" ht="5.45" customHeight="1" x14ac:dyDescent="0.25">
      <c r="A67" s="106"/>
      <c r="B67" s="166"/>
      <c r="C67" s="166"/>
      <c r="D67" s="166"/>
      <c r="E67" s="166"/>
      <c r="F67" s="111"/>
      <c r="G67" s="106"/>
      <c r="H67" s="109"/>
      <c r="I67" s="106"/>
      <c r="J67" s="114"/>
      <c r="K67" s="114"/>
      <c r="L67" s="112"/>
      <c r="M67" s="112"/>
      <c r="N67" s="6"/>
      <c r="O67" s="6"/>
      <c r="P67" s="6"/>
      <c r="Q67" s="106"/>
    </row>
    <row r="68" spans="1:17" ht="15" customHeight="1" x14ac:dyDescent="0.25">
      <c r="A68" s="106"/>
      <c r="B68" s="166"/>
      <c r="C68" s="166"/>
      <c r="D68" s="166"/>
      <c r="E68" s="166"/>
      <c r="F68" s="111"/>
      <c r="G68" s="106"/>
      <c r="H68" s="109" t="s">
        <v>149</v>
      </c>
      <c r="I68" s="106"/>
      <c r="J68" s="169" t="str">
        <f>IF(J15+J17&gt;0,IFERROR(J15+J17,""),"")</f>
        <v/>
      </c>
      <c r="K68" s="170"/>
      <c r="L68" s="109"/>
      <c r="M68" s="113" t="s">
        <v>62</v>
      </c>
      <c r="N68" s="173" t="str">
        <f>IFERROR(Jämförelse!I3,"")</f>
        <v/>
      </c>
      <c r="O68" s="174"/>
      <c r="P68" s="175"/>
      <c r="Q68" s="106"/>
    </row>
    <row r="69" spans="1:17" ht="5.45" customHeight="1" x14ac:dyDescent="0.25">
      <c r="A69" s="106"/>
      <c r="B69" s="172" t="str">
        <f>IFERROR(IF(Jämförelse!H3&gt;=Jämförelse!C3,"Godkänd","Ej godkänd"),"Ej godkänd")</f>
        <v>Godkänd</v>
      </c>
      <c r="C69" s="172"/>
      <c r="D69" s="172"/>
      <c r="E69" s="172"/>
      <c r="F69" s="172"/>
      <c r="G69" s="115"/>
      <c r="H69" s="109"/>
      <c r="I69" s="106"/>
      <c r="J69" s="114"/>
      <c r="K69" s="114"/>
      <c r="L69" s="112"/>
      <c r="M69" s="112"/>
      <c r="N69" s="116"/>
      <c r="O69" s="117"/>
      <c r="P69" s="117"/>
      <c r="Q69" s="106"/>
    </row>
    <row r="70" spans="1:17" ht="15" customHeight="1" x14ac:dyDescent="0.25">
      <c r="A70" s="106"/>
      <c r="B70" s="172"/>
      <c r="C70" s="172"/>
      <c r="D70" s="172"/>
      <c r="E70" s="172"/>
      <c r="F70" s="172"/>
      <c r="G70" s="115"/>
      <c r="H70" s="109" t="s">
        <v>154</v>
      </c>
      <c r="I70" s="106"/>
      <c r="J70" s="143" t="str">
        <f>IFERROR(Jämförelse!L3,"-")</f>
        <v xml:space="preserve"> </v>
      </c>
      <c r="K70" s="144"/>
      <c r="L70" s="118"/>
      <c r="M70" s="113" t="s">
        <v>63</v>
      </c>
      <c r="N70" s="173" t="str">
        <f>IFERROR(Jämförelse!J3,"")</f>
        <v/>
      </c>
      <c r="O70" s="174"/>
      <c r="P70" s="175"/>
      <c r="Q70" s="106"/>
    </row>
    <row r="71" spans="1:17" ht="9.9499999999999993" customHeight="1" x14ac:dyDescent="0.25">
      <c r="A71" s="106"/>
      <c r="B71" s="172"/>
      <c r="C71" s="172"/>
      <c r="D71" s="172"/>
      <c r="E71" s="172"/>
      <c r="F71" s="172"/>
      <c r="G71" s="115"/>
      <c r="H71" s="109"/>
      <c r="I71" s="106"/>
      <c r="J71" s="112"/>
      <c r="K71" s="112"/>
      <c r="L71" s="112"/>
      <c r="M71" s="112"/>
      <c r="N71" s="106"/>
      <c r="O71" s="106"/>
      <c r="P71" s="106"/>
      <c r="Q71" s="106"/>
    </row>
    <row r="72" spans="1:17" x14ac:dyDescent="0.25">
      <c r="A72" s="171" t="s">
        <v>163</v>
      </c>
      <c r="B72" s="171"/>
      <c r="C72" s="171"/>
      <c r="D72" s="171"/>
      <c r="E72" s="171"/>
      <c r="F72" s="171"/>
      <c r="G72" s="171"/>
      <c r="H72" s="171"/>
      <c r="I72" s="171"/>
      <c r="J72" s="171"/>
      <c r="K72" s="171"/>
      <c r="L72" s="171"/>
      <c r="M72" s="171"/>
      <c r="N72" s="171"/>
      <c r="O72" s="171"/>
      <c r="P72" s="171"/>
      <c r="Q72" s="171"/>
    </row>
    <row r="73" spans="1:17" ht="5.0999999999999996" customHeight="1" x14ac:dyDescent="0.25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</row>
  </sheetData>
  <sheetProtection algorithmName="SHA-512" hashValue="RwXVeCHjyC20uxRisIs0GvpcSyJYFF2fWz3I6oUr7iSZcsvZ0Pj4ZJlgTofiWW4yyChu120zNYhLZIUivVMauw==" saltValue="Jm8Rh9fn2vGXmPlOLc8ezQ==" spinCount="100000" sheet="1" selectLockedCells="1"/>
  <mergeCells count="35">
    <mergeCell ref="A6:Q6"/>
    <mergeCell ref="O45:Q46"/>
    <mergeCell ref="J47:M47"/>
    <mergeCell ref="B43:F45"/>
    <mergeCell ref="N68:P68"/>
    <mergeCell ref="J15:M15"/>
    <mergeCell ref="B33:F35"/>
    <mergeCell ref="J21:M21"/>
    <mergeCell ref="J19:M19"/>
    <mergeCell ref="J17:M17"/>
    <mergeCell ref="J43:M43"/>
    <mergeCell ref="O15:Q18"/>
    <mergeCell ref="M7:Q7"/>
    <mergeCell ref="M1:Q1"/>
    <mergeCell ref="A73:Q73"/>
    <mergeCell ref="B15:F17"/>
    <mergeCell ref="N66:P66"/>
    <mergeCell ref="J11:M11"/>
    <mergeCell ref="B9:E13"/>
    <mergeCell ref="B19:E21"/>
    <mergeCell ref="B23:E25"/>
    <mergeCell ref="B29:F31"/>
    <mergeCell ref="B66:E68"/>
    <mergeCell ref="J49:M49"/>
    <mergeCell ref="K51:M51"/>
    <mergeCell ref="J68:K68"/>
    <mergeCell ref="A72:Q72"/>
    <mergeCell ref="B69:F71"/>
    <mergeCell ref="N70:P70"/>
    <mergeCell ref="J70:K70"/>
    <mergeCell ref="J45:M45"/>
    <mergeCell ref="O11:Q11"/>
    <mergeCell ref="J23:M23"/>
    <mergeCell ref="J31:M31"/>
    <mergeCell ref="J66:K66"/>
  </mergeCells>
  <conditionalFormatting sqref="B69 F66:F68">
    <cfRule type="cellIs" dxfId="57" priority="71" operator="equal">
      <formula>"II"</formula>
    </cfRule>
    <cfRule type="cellIs" dxfId="56" priority="70" operator="equal">
      <formula>"III"</formula>
    </cfRule>
    <cfRule type="cellIs" dxfId="55" priority="72" operator="equal">
      <formula>"I"</formula>
    </cfRule>
  </conditionalFormatting>
  <conditionalFormatting sqref="B69:F71">
    <cfRule type="containsText" dxfId="54" priority="11" operator="containsText" text="Ej godkänd">
      <formula>NOT(ISERROR(SEARCH("Ej godkänd",B69)))</formula>
    </cfRule>
    <cfRule type="cellIs" dxfId="53" priority="12" operator="equal">
      <formula>"Godkänd"</formula>
    </cfRule>
  </conditionalFormatting>
  <conditionalFormatting sqref="H25">
    <cfRule type="cellIs" dxfId="52" priority="28" operator="equal">
      <formula>"Välj motortyp för fler val"</formula>
    </cfRule>
  </conditionalFormatting>
  <conditionalFormatting sqref="H47">
    <cfRule type="cellIs" dxfId="51" priority="80" operator="equal">
      <formula>"Välj motortyp för fler val"</formula>
    </cfRule>
  </conditionalFormatting>
  <conditionalFormatting sqref="J25">
    <cfRule type="expression" dxfId="50" priority="16">
      <formula>IF(I25=1,1,0)</formula>
    </cfRule>
    <cfRule type="expression" dxfId="49" priority="15">
      <formula>IF($J$45="Trimmad",1,0)</formula>
    </cfRule>
  </conditionalFormatting>
  <conditionalFormatting sqref="J27">
    <cfRule type="expression" dxfId="48" priority="5">
      <formula>IF($J$23="Bakhjulsdrift",1,0)</formula>
    </cfRule>
    <cfRule type="expression" dxfId="47" priority="13">
      <formula>IF($J$45="Trimmad",1,0)</formula>
    </cfRule>
    <cfRule type="expression" dxfId="46" priority="14">
      <formula>IF(I27=1,1,0)</formula>
    </cfRule>
  </conditionalFormatting>
  <conditionalFormatting sqref="J51 J55:L55 J57:L57">
    <cfRule type="expression" dxfId="45" priority="77">
      <formula>IF(I51=1,1,0)</formula>
    </cfRule>
  </conditionalFormatting>
  <conditionalFormatting sqref="J51:J63">
    <cfRule type="expression" dxfId="44" priority="40">
      <formula>IF($J$45="Trimmad",1,0)</formula>
    </cfRule>
  </conditionalFormatting>
  <conditionalFormatting sqref="J53">
    <cfRule type="expression" dxfId="43" priority="75">
      <formula>IF(I53=1,1,0)</formula>
    </cfRule>
  </conditionalFormatting>
  <conditionalFormatting sqref="J59">
    <cfRule type="expression" dxfId="42" priority="74">
      <formula>IF(I59=1,1,0)</formula>
    </cfRule>
  </conditionalFormatting>
  <conditionalFormatting sqref="J61 J63">
    <cfRule type="expression" dxfId="41" priority="38">
      <formula>IF($J$49="Turbo",1,0)</formula>
    </cfRule>
    <cfRule type="expression" dxfId="40" priority="39">
      <formula>IF($J$49="Kompressor",1,0)</formula>
    </cfRule>
  </conditionalFormatting>
  <conditionalFormatting sqref="J61">
    <cfRule type="expression" dxfId="39" priority="46">
      <formula>IF($I$61=1,1,0)</formula>
    </cfRule>
  </conditionalFormatting>
  <conditionalFormatting sqref="J63">
    <cfRule type="expression" dxfId="38" priority="45">
      <formula>IF($I$63=1,1,0)</formula>
    </cfRule>
    <cfRule type="expression" dxfId="37" priority="36">
      <formula>IF($J$49="Förgasare 1 sp / 1 cyl",1,0)</formula>
    </cfRule>
    <cfRule type="expression" dxfId="36" priority="37">
      <formula>IF($J$49="Förgasare 1 sp / 2 cyl",1,0)</formula>
    </cfRule>
  </conditionalFormatting>
  <conditionalFormatting sqref="J11:M11">
    <cfRule type="cellIs" dxfId="35" priority="10" operator="lessThan">
      <formula>1</formula>
    </cfRule>
  </conditionalFormatting>
  <conditionalFormatting sqref="J15:M15">
    <cfRule type="cellIs" dxfId="34" priority="63" operator="lessThan">
      <formula>1</formula>
    </cfRule>
  </conditionalFormatting>
  <conditionalFormatting sqref="J17:M17">
    <cfRule type="cellIs" dxfId="33" priority="62" operator="lessThan">
      <formula>1</formula>
    </cfRule>
  </conditionalFormatting>
  <conditionalFormatting sqref="J21:M21">
    <cfRule type="expression" dxfId="32" priority="59">
      <formula>IF($J$21&lt;185,1,0)</formula>
    </cfRule>
  </conditionalFormatting>
  <conditionalFormatting sqref="J23:M23">
    <cfRule type="expression" dxfId="31" priority="54">
      <formula>IF(ISTEXT($J$23),1,0)</formula>
    </cfRule>
  </conditionalFormatting>
  <conditionalFormatting sqref="J43:M43">
    <cfRule type="expression" dxfId="30" priority="52">
      <formula>IF(ISTEXT($J$43),1,0)</formula>
    </cfRule>
  </conditionalFormatting>
  <conditionalFormatting sqref="J45:M45">
    <cfRule type="expression" dxfId="29" priority="50">
      <formula>IF(ISTEXT($J$45),1,0)</formula>
    </cfRule>
  </conditionalFormatting>
  <conditionalFormatting sqref="J47:M47">
    <cfRule type="cellIs" dxfId="28" priority="6" operator="lessThan">
      <formula>1</formula>
    </cfRule>
  </conditionalFormatting>
  <conditionalFormatting sqref="J49:M49">
    <cfRule type="expression" dxfId="27" priority="44">
      <formula>IF(ISTEXT($J$49),1,0)</formula>
    </cfRule>
    <cfRule type="expression" dxfId="26" priority="34">
      <formula>IF($J$45&lt;0,1,0)</formula>
    </cfRule>
    <cfRule type="expression" dxfId="25" priority="85">
      <formula>IF(I49=1,1,0)</formula>
    </cfRule>
  </conditionalFormatting>
  <conditionalFormatting sqref="K51:L51">
    <cfRule type="expression" dxfId="24" priority="67">
      <formula>IF(I51=2,1,0)</formula>
    </cfRule>
  </conditionalFormatting>
  <conditionalFormatting sqref="K51:M51">
    <cfRule type="expression" dxfId="23" priority="65">
      <formula>IF(ISTEXT($K$51),1,0)</formula>
    </cfRule>
    <cfRule type="expression" dxfId="22" priority="42">
      <formula>IF($J$45="Standard",1,0)</formula>
    </cfRule>
    <cfRule type="expression" dxfId="21" priority="41">
      <formula>IF($J$45=0,1,0)</formula>
    </cfRule>
  </conditionalFormatting>
  <conditionalFormatting sqref="K53:M53">
    <cfRule type="expression" dxfId="20" priority="66">
      <formula>IF($J$45="Trimmad",1,0)</formula>
    </cfRule>
  </conditionalFormatting>
  <conditionalFormatting sqref="M49">
    <cfRule type="expression" dxfId="19" priority="96">
      <formula>IF(K49=1,1,0)</formula>
    </cfRule>
  </conditionalFormatting>
  <conditionalFormatting sqref="M51">
    <cfRule type="expression" dxfId="18" priority="108">
      <formula>IF(J51=2,1,0)</formula>
    </cfRule>
  </conditionalFormatting>
  <conditionalFormatting sqref="M55 M57">
    <cfRule type="expression" dxfId="17" priority="98">
      <formula>IF(K55=1,1,0)</formula>
    </cfRule>
  </conditionalFormatting>
  <conditionalFormatting sqref="O21">
    <cfRule type="expression" dxfId="16" priority="60">
      <formula>IF($J$21&gt;0,1,0)</formula>
    </cfRule>
  </conditionalFormatting>
  <conditionalFormatting sqref="O23">
    <cfRule type="expression" dxfId="15" priority="58">
      <formula>IF(ISTEXT($J$23),1,0)</formula>
    </cfRule>
  </conditionalFormatting>
  <conditionalFormatting sqref="O27">
    <cfRule type="expression" dxfId="14" priority="4">
      <formula>IF($J$21&gt;0,1,0)</formula>
    </cfRule>
  </conditionalFormatting>
  <conditionalFormatting sqref="O43">
    <cfRule type="expression" dxfId="13" priority="35">
      <formula>IF(ISTEXT($J$43),1,0)</formula>
    </cfRule>
  </conditionalFormatting>
  <conditionalFormatting sqref="O45">
    <cfRule type="expression" dxfId="12" priority="51">
      <formula>IF(ISTEXT($J$45),1,0)</formula>
    </cfRule>
  </conditionalFormatting>
  <conditionalFormatting sqref="O47">
    <cfRule type="expression" dxfId="11" priority="49">
      <formula>IF($J$47&gt;0,1,0)</formula>
    </cfRule>
  </conditionalFormatting>
  <conditionalFormatting sqref="O49">
    <cfRule type="expression" dxfId="10" priority="47">
      <formula>IF(ISTEXT($J$49),1,0)</formula>
    </cfRule>
  </conditionalFormatting>
  <conditionalFormatting sqref="O51">
    <cfRule type="expression" dxfId="9" priority="33">
      <formula>IF(J51="x",1,0)</formula>
    </cfRule>
  </conditionalFormatting>
  <conditionalFormatting sqref="O53">
    <cfRule type="expression" dxfId="8" priority="3">
      <formula>IF($J$21&gt;0,1,0)</formula>
    </cfRule>
  </conditionalFormatting>
  <conditionalFormatting sqref="O59">
    <cfRule type="expression" dxfId="7" priority="2">
      <formula>IF($J$21&gt;0,1,0)</formula>
    </cfRule>
  </conditionalFormatting>
  <conditionalFormatting sqref="O61">
    <cfRule type="expression" dxfId="6" priority="1">
      <formula>IF($J$21&gt;0,1,0)</formula>
    </cfRule>
  </conditionalFormatting>
  <dataValidations count="3">
    <dataValidation type="whole" allowBlank="1" showInputMessage="1" showErrorMessage="1" sqref="J15:M15" xr:uid="{2E1128AB-4E09-4BC5-8330-81434FE58461}">
      <formula1>1</formula1>
      <formula2>2000</formula2>
    </dataValidation>
    <dataValidation type="whole" allowBlank="1" showInputMessage="1" showErrorMessage="1" sqref="J17:M17" xr:uid="{E4254592-F4BF-4D4D-9C29-28E6DD9B4AA1}">
      <formula1>1</formula1>
      <formula2>200</formula2>
    </dataValidation>
    <dataValidation type="whole" allowBlank="1" showInputMessage="1" showErrorMessage="1" sqref="J47:M47" xr:uid="{5961D443-1556-404E-A1DC-8040666B3737}">
      <formula1>1</formula1>
      <formula2>5000</formula2>
    </dataValidation>
  </dataValidations>
  <printOptions horizontalCentered="1"/>
  <pageMargins left="0.43307086614173229" right="0.43307086614173229" top="0.35433070866141736" bottom="0.35433070866141736" header="0" footer="0"/>
  <pageSetup paperSize="9" scale="92" orientation="portrait" r:id="rId1"/>
  <headerFooter scaleWithDoc="0"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5908945-1B00-4DB4-A9EE-F5267DC58042}">
          <x14:formula1>
            <xm:f>Variabler!$E$13:$E$16</xm:f>
          </x14:formula1>
          <xm:sqref>J43:M43</xm:sqref>
        </x14:dataValidation>
        <x14:dataValidation type="list" allowBlank="1" showInputMessage="1" showErrorMessage="1" xr:uid="{ADBF5BD1-44ED-4119-9DB1-09A8001BBF7C}">
          <x14:formula1>
            <xm:f>Val!$A$17:$A$18</xm:f>
          </x14:formula1>
          <xm:sqref>J45:M45</xm:sqref>
        </x14:dataValidation>
        <x14:dataValidation type="list" allowBlank="1" showInputMessage="1" showErrorMessage="1" xr:uid="{CCC2B02C-793F-4FAE-A21F-BCADEC4DBC39}">
          <x14:formula1>
            <xm:f>Variabler!$E$23:$E$27</xm:f>
          </x14:formula1>
          <xm:sqref>J49:M49</xm:sqref>
        </x14:dataValidation>
        <x14:dataValidation type="list" allowBlank="1" showInputMessage="1" showErrorMessage="1" xr:uid="{7B4F8660-23E9-4525-B8AB-D59D24BBD535}">
          <x14:formula1>
            <xm:f>Variabler!$E$8:$E$10</xm:f>
          </x14:formula1>
          <xm:sqref>J23:M23</xm:sqref>
        </x14:dataValidation>
        <x14:dataValidation type="list" allowBlank="1" showInputMessage="1" showErrorMessage="1" xr:uid="{ECF2CC0F-6D2A-4CEF-A217-A3188558D6AF}">
          <x14:formula1>
            <xm:f>Val!$A$21:$A$22</xm:f>
          </x14:formula1>
          <xm:sqref>J63:J64 J29 J61 J33 J35 J37 J39 J41 J51 J53 J55 J57 J59 J25 J27</xm:sqref>
        </x14:dataValidation>
        <x14:dataValidation type="list" allowBlank="1" showInputMessage="1" showErrorMessage="1" xr:uid="{D350C3D2-36DF-4E15-AF4B-F8967A2397D4}">
          <x14:formula1>
            <xm:f>Variabler!$B$4:$B$15</xm:f>
          </x14:formula1>
          <xm:sqref>J21:M21</xm:sqref>
        </x14:dataValidation>
        <x14:dataValidation type="list" allowBlank="1" showInputMessage="1" showErrorMessage="1" xr:uid="{9EE07E81-787B-430D-B075-40BC2ADF8AAC}">
          <x14:formula1>
            <xm:f>Variabler!$E$30:$E$32</xm:f>
          </x14:formula1>
          <xm:sqref>K51:M51</xm:sqref>
        </x14:dataValidation>
        <x14:dataValidation type="list" allowBlank="1" showInputMessage="1" showErrorMessage="1" xr:uid="{84AD216C-39B8-44F0-9BDD-1F77F5CF4BE7}">
          <x14:formula1>
            <xm:f>Val!$C$20:$C$22</xm:f>
          </x14:formula1>
          <xm:sqref>J31:M31</xm:sqref>
        </x14:dataValidation>
        <x14:dataValidation type="list" allowBlank="1" showInputMessage="1" showErrorMessage="1" xr:uid="{BFCEE326-9DF4-41D8-90CB-3B4EB550B1F3}">
          <x14:formula1>
            <xm:f>Val!$C$25:$C$27</xm:f>
          </x14:formula1>
          <xm:sqref>J11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FE4FB-A079-49F6-AA96-BE730E6BF11B}">
  <sheetPr codeName="Sheet2"/>
  <dimension ref="A1:Q36"/>
  <sheetViews>
    <sheetView workbookViewId="0">
      <selection activeCell="J17" sqref="J17:M17"/>
    </sheetView>
  </sheetViews>
  <sheetFormatPr defaultRowHeight="15" x14ac:dyDescent="0.25"/>
  <cols>
    <col min="1" max="1" width="19.28515625" bestFit="1" customWidth="1"/>
    <col min="3" max="3" width="19.28515625" bestFit="1" customWidth="1"/>
    <col min="4" max="4" width="17.7109375" bestFit="1" customWidth="1"/>
    <col min="7" max="7" width="19.28515625" bestFit="1" customWidth="1"/>
    <col min="8" max="8" width="26" bestFit="1" customWidth="1"/>
    <col min="11" max="12" width="13.7109375" bestFit="1" customWidth="1"/>
    <col min="13" max="13" width="9.28515625" customWidth="1"/>
  </cols>
  <sheetData>
    <row r="1" spans="1:17" x14ac:dyDescent="0.25">
      <c r="A1" s="7" t="s">
        <v>42</v>
      </c>
    </row>
    <row r="3" spans="1:17" x14ac:dyDescent="0.25">
      <c r="A3" s="6" t="s">
        <v>14</v>
      </c>
      <c r="C3" s="5" t="s">
        <v>18</v>
      </c>
      <c r="D3" t="s">
        <v>44</v>
      </c>
      <c r="E3" t="s">
        <v>49</v>
      </c>
      <c r="G3" t="s">
        <v>2</v>
      </c>
      <c r="H3" t="s">
        <v>44</v>
      </c>
      <c r="I3" t="s">
        <v>49</v>
      </c>
      <c r="K3" t="s">
        <v>4</v>
      </c>
      <c r="L3" t="s">
        <v>44</v>
      </c>
      <c r="M3" t="s">
        <v>151</v>
      </c>
    </row>
    <row r="4" spans="1:17" x14ac:dyDescent="0.25">
      <c r="A4" t="s">
        <v>134</v>
      </c>
      <c r="C4" s="5" t="s">
        <v>136</v>
      </c>
      <c r="D4" t="s">
        <v>47</v>
      </c>
      <c r="E4">
        <v>1</v>
      </c>
      <c r="G4" t="s">
        <v>50</v>
      </c>
      <c r="H4" t="s">
        <v>122</v>
      </c>
      <c r="I4">
        <v>1</v>
      </c>
      <c r="K4" t="s">
        <v>119</v>
      </c>
      <c r="L4" t="s">
        <v>7</v>
      </c>
      <c r="M4">
        <v>1</v>
      </c>
    </row>
    <row r="5" spans="1:17" x14ac:dyDescent="0.25">
      <c r="A5" t="s">
        <v>19</v>
      </c>
      <c r="C5" s="5" t="s">
        <v>136</v>
      </c>
      <c r="G5" t="s">
        <v>50</v>
      </c>
      <c r="K5" t="s">
        <v>120</v>
      </c>
      <c r="L5" t="s">
        <v>7</v>
      </c>
      <c r="M5">
        <v>1</v>
      </c>
    </row>
    <row r="6" spans="1:17" x14ac:dyDescent="0.25">
      <c r="A6" t="s">
        <v>20</v>
      </c>
      <c r="C6" s="5" t="s">
        <v>136</v>
      </c>
      <c r="D6" t="s">
        <v>2</v>
      </c>
      <c r="E6">
        <v>1</v>
      </c>
      <c r="G6" t="s">
        <v>50</v>
      </c>
      <c r="H6" t="s">
        <v>54</v>
      </c>
      <c r="I6">
        <v>1</v>
      </c>
      <c r="K6" t="s">
        <v>120</v>
      </c>
      <c r="L6" t="s">
        <v>161</v>
      </c>
    </row>
    <row r="7" spans="1:17" x14ac:dyDescent="0.25">
      <c r="A7" t="s">
        <v>21</v>
      </c>
      <c r="C7" s="5" t="s">
        <v>136</v>
      </c>
      <c r="G7" t="s">
        <v>50</v>
      </c>
      <c r="K7" t="s">
        <v>120</v>
      </c>
      <c r="L7" t="s">
        <v>152</v>
      </c>
      <c r="M7">
        <v>1</v>
      </c>
    </row>
    <row r="8" spans="1:17" x14ac:dyDescent="0.25">
      <c r="C8" s="5" t="s">
        <v>136</v>
      </c>
      <c r="D8" t="s">
        <v>23</v>
      </c>
      <c r="E8">
        <v>1</v>
      </c>
      <c r="G8" t="s">
        <v>50</v>
      </c>
      <c r="H8" t="s">
        <v>57</v>
      </c>
      <c r="I8">
        <v>1</v>
      </c>
      <c r="K8" t="s">
        <v>121</v>
      </c>
      <c r="L8" s="3" t="s">
        <v>7</v>
      </c>
      <c r="M8" s="3">
        <v>1</v>
      </c>
    </row>
    <row r="9" spans="1:17" x14ac:dyDescent="0.25">
      <c r="A9" s="6" t="s">
        <v>45</v>
      </c>
      <c r="C9" s="5" t="s">
        <v>136</v>
      </c>
      <c r="G9" t="s">
        <v>50</v>
      </c>
      <c r="K9" s="3"/>
      <c r="L9" s="3"/>
      <c r="M9" s="3"/>
    </row>
    <row r="10" spans="1:17" x14ac:dyDescent="0.25">
      <c r="A10" t="s">
        <v>50</v>
      </c>
      <c r="C10" s="5" t="s">
        <v>136</v>
      </c>
      <c r="D10" t="s">
        <v>24</v>
      </c>
      <c r="E10">
        <v>1</v>
      </c>
      <c r="G10" t="s">
        <v>50</v>
      </c>
      <c r="H10" t="s">
        <v>25</v>
      </c>
      <c r="I10">
        <v>1</v>
      </c>
      <c r="J10" s="3"/>
      <c r="K10" s="3"/>
      <c r="L10" s="3"/>
      <c r="M10" s="3"/>
      <c r="N10" s="8"/>
      <c r="O10" s="3"/>
      <c r="P10" s="3"/>
      <c r="Q10" s="3"/>
    </row>
    <row r="11" spans="1:17" x14ac:dyDescent="0.25">
      <c r="A11" t="s">
        <v>51</v>
      </c>
      <c r="C11" s="5" t="s">
        <v>16</v>
      </c>
      <c r="D11" t="s">
        <v>48</v>
      </c>
      <c r="E11">
        <v>1</v>
      </c>
      <c r="G11" t="s">
        <v>51</v>
      </c>
      <c r="H11" t="s">
        <v>122</v>
      </c>
      <c r="I11">
        <v>1</v>
      </c>
      <c r="J11" s="3"/>
      <c r="K11" s="3"/>
      <c r="L11" s="3"/>
      <c r="M11" s="3"/>
      <c r="N11" s="8"/>
      <c r="O11" s="3"/>
      <c r="P11" s="3"/>
      <c r="Q11" s="3"/>
    </row>
    <row r="12" spans="1:17" x14ac:dyDescent="0.25">
      <c r="A12" t="s">
        <v>3</v>
      </c>
      <c r="C12" s="5" t="s">
        <v>16</v>
      </c>
      <c r="G12" t="s">
        <v>51</v>
      </c>
      <c r="J12" s="3"/>
      <c r="K12" s="3"/>
      <c r="L12" s="3"/>
      <c r="M12" s="3"/>
      <c r="N12" s="8"/>
      <c r="O12" s="3"/>
      <c r="P12" s="3"/>
      <c r="Q12" s="3"/>
    </row>
    <row r="13" spans="1:17" x14ac:dyDescent="0.25">
      <c r="A13" t="s">
        <v>52</v>
      </c>
      <c r="C13" s="5" t="s">
        <v>16</v>
      </c>
      <c r="D13" t="s">
        <v>2</v>
      </c>
      <c r="E13">
        <v>1</v>
      </c>
      <c r="G13" t="s">
        <v>51</v>
      </c>
      <c r="H13" t="s">
        <v>54</v>
      </c>
      <c r="I13">
        <v>1</v>
      </c>
      <c r="J13" s="3"/>
      <c r="K13" s="3"/>
      <c r="L13" s="3"/>
      <c r="M13" s="3"/>
      <c r="N13" s="8"/>
      <c r="O13" s="3"/>
      <c r="P13" s="3"/>
      <c r="Q13" s="3"/>
    </row>
    <row r="14" spans="1:17" x14ac:dyDescent="0.25">
      <c r="A14" t="s">
        <v>53</v>
      </c>
      <c r="C14" s="5" t="s">
        <v>16</v>
      </c>
      <c r="G14" t="s">
        <v>51</v>
      </c>
      <c r="J14" s="3"/>
      <c r="K14" s="3"/>
      <c r="L14" s="3"/>
      <c r="M14" s="3"/>
      <c r="N14" s="8"/>
      <c r="O14" s="3"/>
      <c r="P14" s="3"/>
      <c r="Q14" s="3"/>
    </row>
    <row r="15" spans="1:17" x14ac:dyDescent="0.25">
      <c r="C15" s="5" t="s">
        <v>16</v>
      </c>
      <c r="D15" t="s">
        <v>17</v>
      </c>
      <c r="E15">
        <v>2</v>
      </c>
      <c r="G15" t="s">
        <v>51</v>
      </c>
      <c r="H15" t="s">
        <v>57</v>
      </c>
      <c r="I15">
        <v>1</v>
      </c>
      <c r="J15" s="3"/>
      <c r="K15" s="3"/>
      <c r="L15" s="3"/>
      <c r="M15" s="3"/>
      <c r="N15" s="8"/>
      <c r="O15" s="3"/>
      <c r="P15" s="3"/>
      <c r="Q15" s="3"/>
    </row>
    <row r="16" spans="1:17" x14ac:dyDescent="0.25">
      <c r="A16" s="6" t="s">
        <v>46</v>
      </c>
      <c r="G16" t="s">
        <v>51</v>
      </c>
      <c r="J16" s="3"/>
      <c r="K16" s="3"/>
      <c r="L16" s="3"/>
      <c r="M16" s="3"/>
      <c r="N16" s="8"/>
      <c r="O16" s="3"/>
      <c r="P16" s="3"/>
      <c r="Q16" s="3"/>
    </row>
    <row r="17" spans="1:17" x14ac:dyDescent="0.25">
      <c r="A17" t="s">
        <v>136</v>
      </c>
      <c r="G17" t="s">
        <v>51</v>
      </c>
      <c r="H17" t="s">
        <v>25</v>
      </c>
      <c r="I17">
        <v>1</v>
      </c>
      <c r="J17" s="3"/>
      <c r="K17" s="3"/>
      <c r="L17" s="3"/>
      <c r="M17" s="3"/>
      <c r="N17" s="8"/>
      <c r="O17" s="3"/>
      <c r="P17" s="3"/>
      <c r="Q17" s="3"/>
    </row>
    <row r="18" spans="1:17" x14ac:dyDescent="0.25">
      <c r="A18" t="s">
        <v>16</v>
      </c>
      <c r="G18" t="s">
        <v>3</v>
      </c>
      <c r="H18" t="s">
        <v>22</v>
      </c>
      <c r="I18">
        <v>1</v>
      </c>
      <c r="J18" s="3"/>
      <c r="K18" s="3"/>
      <c r="L18" s="3"/>
      <c r="M18" s="3"/>
      <c r="N18" s="8"/>
      <c r="O18" s="3"/>
      <c r="P18" s="3"/>
      <c r="Q18" s="3"/>
    </row>
    <row r="19" spans="1:17" x14ac:dyDescent="0.25">
      <c r="C19" s="100" t="s">
        <v>137</v>
      </c>
      <c r="G19" t="s">
        <v>3</v>
      </c>
      <c r="J19" s="3"/>
      <c r="N19" s="8"/>
      <c r="O19" s="3"/>
      <c r="P19" s="3"/>
      <c r="Q19" s="3"/>
    </row>
    <row r="20" spans="1:17" x14ac:dyDescent="0.25">
      <c r="A20" s="5" t="s">
        <v>123</v>
      </c>
      <c r="C20" s="101"/>
      <c r="G20" t="s">
        <v>3</v>
      </c>
      <c r="H20" t="s">
        <v>132</v>
      </c>
      <c r="I20">
        <v>1</v>
      </c>
      <c r="J20" s="3"/>
      <c r="N20" s="8"/>
      <c r="O20" s="3"/>
      <c r="P20" s="3"/>
      <c r="Q20" s="3"/>
    </row>
    <row r="21" spans="1:17" x14ac:dyDescent="0.25">
      <c r="A21" s="5"/>
      <c r="C21" s="101" t="s">
        <v>138</v>
      </c>
      <c r="G21" t="s">
        <v>3</v>
      </c>
      <c r="J21" s="3"/>
      <c r="N21" s="8"/>
      <c r="O21" s="3"/>
      <c r="P21" s="3"/>
      <c r="Q21" s="3"/>
    </row>
    <row r="22" spans="1:17" x14ac:dyDescent="0.25">
      <c r="A22" t="s">
        <v>36</v>
      </c>
      <c r="C22" s="102" t="s">
        <v>139</v>
      </c>
      <c r="G22" t="s">
        <v>3</v>
      </c>
      <c r="H22" t="s">
        <v>55</v>
      </c>
      <c r="I22">
        <v>1</v>
      </c>
      <c r="J22" s="3"/>
      <c r="N22" s="8"/>
      <c r="O22" s="3"/>
      <c r="P22" s="3"/>
      <c r="Q22" s="3"/>
    </row>
    <row r="23" spans="1:17" x14ac:dyDescent="0.25">
      <c r="G23" t="s">
        <v>3</v>
      </c>
    </row>
    <row r="24" spans="1:17" x14ac:dyDescent="0.25">
      <c r="A24" s="6" t="s">
        <v>153</v>
      </c>
      <c r="G24" t="s">
        <v>3</v>
      </c>
      <c r="H24" t="s">
        <v>56</v>
      </c>
      <c r="I24">
        <v>1</v>
      </c>
    </row>
    <row r="25" spans="1:17" x14ac:dyDescent="0.25">
      <c r="A25" t="s">
        <v>119</v>
      </c>
      <c r="C25" s="100" t="s">
        <v>146</v>
      </c>
      <c r="G25" t="s">
        <v>3</v>
      </c>
    </row>
    <row r="26" spans="1:17" x14ac:dyDescent="0.25">
      <c r="A26" t="s">
        <v>120</v>
      </c>
      <c r="C26" s="101" t="s">
        <v>147</v>
      </c>
      <c r="G26" t="s">
        <v>3</v>
      </c>
      <c r="H26" t="s">
        <v>25</v>
      </c>
      <c r="I26">
        <v>1</v>
      </c>
    </row>
    <row r="27" spans="1:17" x14ac:dyDescent="0.25">
      <c r="A27" t="s">
        <v>121</v>
      </c>
      <c r="C27" s="102" t="s">
        <v>148</v>
      </c>
      <c r="G27" t="s">
        <v>52</v>
      </c>
      <c r="H27" t="s">
        <v>55</v>
      </c>
      <c r="I27">
        <v>1</v>
      </c>
    </row>
    <row r="28" spans="1:17" x14ac:dyDescent="0.25">
      <c r="G28" t="s">
        <v>52</v>
      </c>
    </row>
    <row r="29" spans="1:17" x14ac:dyDescent="0.25">
      <c r="G29" t="s">
        <v>52</v>
      </c>
      <c r="H29" t="s">
        <v>56</v>
      </c>
      <c r="I29">
        <v>1</v>
      </c>
    </row>
    <row r="30" spans="1:17" x14ac:dyDescent="0.25">
      <c r="G30" t="s">
        <v>52</v>
      </c>
    </row>
    <row r="31" spans="1:17" x14ac:dyDescent="0.25">
      <c r="G31" t="s">
        <v>52</v>
      </c>
      <c r="H31" t="s">
        <v>58</v>
      </c>
      <c r="I31">
        <v>1</v>
      </c>
    </row>
    <row r="32" spans="1:17" x14ac:dyDescent="0.25">
      <c r="G32" t="s">
        <v>53</v>
      </c>
      <c r="H32" t="s">
        <v>55</v>
      </c>
      <c r="I32">
        <v>1</v>
      </c>
    </row>
    <row r="33" spans="7:9" x14ac:dyDescent="0.25">
      <c r="G33" t="s">
        <v>53</v>
      </c>
    </row>
    <row r="34" spans="7:9" x14ac:dyDescent="0.25">
      <c r="G34" t="s">
        <v>53</v>
      </c>
      <c r="H34" t="s">
        <v>56</v>
      </c>
      <c r="I34">
        <v>1</v>
      </c>
    </row>
    <row r="35" spans="7:9" x14ac:dyDescent="0.25">
      <c r="G35" t="s">
        <v>53</v>
      </c>
    </row>
    <row r="36" spans="7:9" x14ac:dyDescent="0.25">
      <c r="G36" t="s">
        <v>53</v>
      </c>
      <c r="H36" t="s">
        <v>58</v>
      </c>
      <c r="I36">
        <v>1</v>
      </c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79BEB-F45C-4BD2-B9DB-0A05736E5622}">
  <sheetPr codeName="Sheet3"/>
  <dimension ref="B1:L37"/>
  <sheetViews>
    <sheetView zoomScale="110" zoomScaleNormal="110" workbookViewId="0">
      <selection activeCell="J17" sqref="J17:M17"/>
    </sheetView>
  </sheetViews>
  <sheetFormatPr defaultColWidth="9.140625" defaultRowHeight="12.75" x14ac:dyDescent="0.2"/>
  <cols>
    <col min="1" max="1" width="2.7109375" style="9" customWidth="1"/>
    <col min="2" max="2" width="20" style="9" bestFit="1" customWidth="1"/>
    <col min="3" max="3" width="12.28515625" style="9" bestFit="1" customWidth="1"/>
    <col min="4" max="4" width="9.140625" style="9"/>
    <col min="5" max="5" width="15.28515625" style="9" bestFit="1" customWidth="1"/>
    <col min="6" max="8" width="9.140625" style="9"/>
    <col min="9" max="9" width="3" style="10" bestFit="1" customWidth="1"/>
    <col min="10" max="10" width="29" style="9" bestFit="1" customWidth="1"/>
    <col min="11" max="11" width="9.140625" style="9"/>
    <col min="12" max="12" width="9.140625" style="10" customWidth="1"/>
    <col min="13" max="16384" width="9.140625" style="9"/>
  </cols>
  <sheetData>
    <row r="1" spans="2:12" ht="13.5" thickBot="1" x14ac:dyDescent="0.25"/>
    <row r="2" spans="2:12" x14ac:dyDescent="0.2">
      <c r="B2" s="11" t="s">
        <v>64</v>
      </c>
      <c r="C2" s="12"/>
      <c r="E2" s="11" t="s">
        <v>65</v>
      </c>
      <c r="F2" s="13"/>
      <c r="G2" s="12"/>
      <c r="J2" s="11" t="s">
        <v>43</v>
      </c>
      <c r="K2" s="12"/>
    </row>
    <row r="3" spans="2:12" x14ac:dyDescent="0.2">
      <c r="B3" s="14" t="s">
        <v>66</v>
      </c>
      <c r="C3" s="15" t="s">
        <v>67</v>
      </c>
      <c r="E3" s="16" t="s">
        <v>146</v>
      </c>
      <c r="F3" s="17">
        <v>2.6</v>
      </c>
      <c r="G3" s="18">
        <v>4.54</v>
      </c>
      <c r="J3" s="19"/>
      <c r="K3" s="18"/>
    </row>
    <row r="4" spans="2:12" x14ac:dyDescent="0.2">
      <c r="B4" s="14">
        <v>185</v>
      </c>
      <c r="C4" s="18">
        <v>784</v>
      </c>
      <c r="E4" s="20" t="s">
        <v>147</v>
      </c>
      <c r="F4" s="17">
        <v>4.55</v>
      </c>
      <c r="G4" s="18">
        <v>6.49</v>
      </c>
      <c r="J4" s="19" t="s">
        <v>22</v>
      </c>
      <c r="K4" s="18">
        <v>0.06</v>
      </c>
      <c r="L4" s="21" t="s">
        <v>70</v>
      </c>
    </row>
    <row r="5" spans="2:12" ht="13.5" thickBot="1" x14ac:dyDescent="0.25">
      <c r="B5" s="14">
        <v>195</v>
      </c>
      <c r="C5" s="15">
        <f>IF(C16&gt;C4, C4+C17, C4+C18)</f>
        <v>884</v>
      </c>
      <c r="E5" s="22" t="s">
        <v>148</v>
      </c>
      <c r="F5" s="23">
        <v>6.5</v>
      </c>
      <c r="G5" s="24">
        <v>20</v>
      </c>
      <c r="J5" s="14" t="s">
        <v>23</v>
      </c>
      <c r="K5" s="18">
        <v>0.05</v>
      </c>
    </row>
    <row r="6" spans="2:12" ht="13.5" thickBot="1" x14ac:dyDescent="0.25">
      <c r="B6" s="14">
        <v>205</v>
      </c>
      <c r="C6" s="15">
        <f>IF(C16&gt;C5, C5+C17, C5+C18)</f>
        <v>984</v>
      </c>
      <c r="J6" s="19" t="s">
        <v>24</v>
      </c>
      <c r="K6" s="18">
        <v>0.06</v>
      </c>
      <c r="L6" s="21"/>
    </row>
    <row r="7" spans="2:12" x14ac:dyDescent="0.2">
      <c r="B7" s="14">
        <v>215</v>
      </c>
      <c r="C7" s="15">
        <f>IF(C16&gt;C6, C6+C17, C6+C18)</f>
        <v>1084</v>
      </c>
      <c r="E7" s="11" t="s">
        <v>15</v>
      </c>
      <c r="F7" s="12"/>
      <c r="J7" s="19" t="str">
        <f>[1]Jämförelse!AK2</f>
        <v>Trimchip (fast mapp) sugmotor</v>
      </c>
      <c r="K7" s="18">
        <v>0.06</v>
      </c>
    </row>
    <row r="8" spans="2:12" x14ac:dyDescent="0.2">
      <c r="B8" s="14">
        <v>225</v>
      </c>
      <c r="C8" s="15">
        <f>IF(C16&gt;C7, C7+C17, C7+C18)</f>
        <v>1184</v>
      </c>
      <c r="E8" s="14" t="s">
        <v>119</v>
      </c>
      <c r="F8" s="18">
        <v>-0.02</v>
      </c>
      <c r="J8" s="14" t="str">
        <f>[1]Jämförelse!AL2</f>
        <v>Programmerbart sprut sugmotor</v>
      </c>
      <c r="K8" s="18">
        <v>0.12</v>
      </c>
    </row>
    <row r="9" spans="2:12" x14ac:dyDescent="0.2">
      <c r="B9" s="14">
        <v>235</v>
      </c>
      <c r="C9" s="15">
        <f>IF(C16&gt;C8, C8+C17, C8+C18)</f>
        <v>1284</v>
      </c>
      <c r="E9" s="14" t="s">
        <v>120</v>
      </c>
      <c r="F9" s="18">
        <v>0</v>
      </c>
      <c r="J9" s="19" t="str">
        <f>[1]Jämförelse!AM2</f>
        <v>Trimchip (fast mapp) turbomotor</v>
      </c>
      <c r="K9" s="18">
        <v>0.16</v>
      </c>
    </row>
    <row r="10" spans="2:12" ht="13.5" thickBot="1" x14ac:dyDescent="0.25">
      <c r="B10" s="14">
        <v>245</v>
      </c>
      <c r="C10" s="15">
        <f>IF(C16&gt;C9, C9+C17, C9+C18)</f>
        <v>1359</v>
      </c>
      <c r="E10" s="25" t="s">
        <v>121</v>
      </c>
      <c r="F10" s="24">
        <v>0.02</v>
      </c>
      <c r="J10" s="14" t="str">
        <f>[1]Jämförelse!AN2</f>
        <v>Programmerbart sprut turbomotor</v>
      </c>
      <c r="K10" s="18">
        <v>0.25</v>
      </c>
    </row>
    <row r="11" spans="2:12" ht="13.5" thickBot="1" x14ac:dyDescent="0.25">
      <c r="B11" s="14">
        <v>255</v>
      </c>
      <c r="C11" s="15">
        <f>IF(C16&gt;C10, C10+C17, C10+C18)</f>
        <v>1434</v>
      </c>
      <c r="J11" s="14" t="str">
        <f>[1]Jämförelse!AO2</f>
        <v>Större munstycke/halsring/spridare</v>
      </c>
      <c r="K11" s="18">
        <v>0.06</v>
      </c>
      <c r="L11" s="26" t="s">
        <v>71</v>
      </c>
    </row>
    <row r="12" spans="2:12" x14ac:dyDescent="0.2">
      <c r="B12" s="14">
        <v>265</v>
      </c>
      <c r="C12" s="15">
        <f>IF(C16&gt;C11, C11+C17, C11+C18)</f>
        <v>1509</v>
      </c>
      <c r="E12" s="11" t="s">
        <v>72</v>
      </c>
      <c r="F12" s="12"/>
      <c r="J12" s="14" t="str">
        <f>[1]Jämförelse!AP2</f>
        <v>Förändrad tändkurva</v>
      </c>
      <c r="K12" s="18">
        <v>0.03</v>
      </c>
    </row>
    <row r="13" spans="2:12" x14ac:dyDescent="0.2">
      <c r="B13" s="27">
        <v>275</v>
      </c>
      <c r="C13" s="15">
        <f>IF(C16&gt;C12, C12+C17, C12+C18)</f>
        <v>1584</v>
      </c>
      <c r="E13" s="14" t="s">
        <v>134</v>
      </c>
      <c r="F13" s="18">
        <v>0</v>
      </c>
      <c r="J13" s="14" t="str">
        <f>[1]Jämförelse!AQ2</f>
        <v>Ej original grenrör</v>
      </c>
      <c r="K13" s="18">
        <v>0.05</v>
      </c>
    </row>
    <row r="14" spans="2:12" x14ac:dyDescent="0.2">
      <c r="B14" s="27">
        <v>285</v>
      </c>
      <c r="C14" s="15">
        <f>IF(C16&gt;C13, C13+C17, C13+C18)</f>
        <v>1659</v>
      </c>
      <c r="E14" s="14" t="s">
        <v>19</v>
      </c>
      <c r="F14" s="18">
        <v>0.01</v>
      </c>
      <c r="J14" s="14" t="str">
        <f>[1]Jämförelse!AR2</f>
        <v>Ombyggd/flyttad IC</v>
      </c>
      <c r="K14" s="130">
        <v>0.2</v>
      </c>
    </row>
    <row r="15" spans="2:12" ht="13.5" thickBot="1" x14ac:dyDescent="0.25">
      <c r="B15" s="27">
        <v>295</v>
      </c>
      <c r="C15" s="15">
        <f>IF(C16&gt;C14, C14+C17, C14+C18)</f>
        <v>1734</v>
      </c>
      <c r="E15" s="14" t="s">
        <v>20</v>
      </c>
      <c r="F15" s="18">
        <v>0.02</v>
      </c>
      <c r="J15" s="25"/>
      <c r="K15" s="31"/>
      <c r="L15" s="26"/>
    </row>
    <row r="16" spans="2:12" ht="13.5" thickBot="1" x14ac:dyDescent="0.25">
      <c r="B16" s="28" t="s">
        <v>73</v>
      </c>
      <c r="C16" s="18">
        <v>1200</v>
      </c>
      <c r="E16" s="25" t="s">
        <v>21</v>
      </c>
      <c r="F16" s="24">
        <v>0.05</v>
      </c>
    </row>
    <row r="17" spans="2:12" ht="13.5" thickBot="1" x14ac:dyDescent="0.25">
      <c r="B17" s="28" t="s">
        <v>74</v>
      </c>
      <c r="C17" s="18">
        <v>100</v>
      </c>
      <c r="J17" s="11" t="s">
        <v>75</v>
      </c>
      <c r="K17" s="12"/>
    </row>
    <row r="18" spans="2:12" ht="13.5" thickBot="1" x14ac:dyDescent="0.25">
      <c r="B18" s="29" t="s">
        <v>76</v>
      </c>
      <c r="C18" s="24">
        <v>75</v>
      </c>
      <c r="E18" s="11" t="s">
        <v>77</v>
      </c>
      <c r="F18" s="12"/>
      <c r="I18" s="10">
        <v>11</v>
      </c>
      <c r="J18" s="30" t="s">
        <v>78</v>
      </c>
      <c r="K18" s="18">
        <v>90</v>
      </c>
      <c r="L18" s="10">
        <v>90</v>
      </c>
    </row>
    <row r="19" spans="2:12" ht="13.5" thickBot="1" x14ac:dyDescent="0.25">
      <c r="E19" s="14" t="s">
        <v>136</v>
      </c>
      <c r="F19" s="15"/>
      <c r="I19" s="10">
        <v>12</v>
      </c>
      <c r="J19" s="30"/>
      <c r="K19" s="18">
        <v>95</v>
      </c>
      <c r="L19" s="10">
        <v>95</v>
      </c>
    </row>
    <row r="20" spans="2:12" ht="13.5" thickBot="1" x14ac:dyDescent="0.25">
      <c r="B20" s="11" t="s">
        <v>79</v>
      </c>
      <c r="C20" s="12"/>
      <c r="E20" s="25" t="s">
        <v>16</v>
      </c>
      <c r="F20" s="31"/>
      <c r="I20" s="10">
        <v>13</v>
      </c>
      <c r="J20" s="30"/>
      <c r="K20" s="18">
        <v>100</v>
      </c>
      <c r="L20" s="10">
        <v>100</v>
      </c>
    </row>
    <row r="21" spans="2:12" ht="13.5" thickBot="1" x14ac:dyDescent="0.25">
      <c r="B21" s="14" t="s">
        <v>80</v>
      </c>
      <c r="C21" s="18">
        <v>3.6999999999999998E-2</v>
      </c>
      <c r="I21" s="10">
        <v>14</v>
      </c>
      <c r="J21" s="30"/>
      <c r="K21" s="18">
        <v>152</v>
      </c>
      <c r="L21" s="10">
        <v>152</v>
      </c>
    </row>
    <row r="22" spans="2:12" ht="13.5" thickBot="1" x14ac:dyDescent="0.25">
      <c r="B22" s="25" t="s">
        <v>81</v>
      </c>
      <c r="C22" s="24">
        <v>3.5000000000000003E-2</v>
      </c>
      <c r="E22" s="11" t="s">
        <v>2</v>
      </c>
      <c r="F22" s="13"/>
      <c r="G22" s="12"/>
      <c r="I22" s="10">
        <v>15</v>
      </c>
      <c r="J22" s="30"/>
      <c r="K22" s="18">
        <v>160</v>
      </c>
      <c r="L22" s="10">
        <v>160</v>
      </c>
    </row>
    <row r="23" spans="2:12" ht="13.5" thickBot="1" x14ac:dyDescent="0.25">
      <c r="E23" s="14" t="s">
        <v>50</v>
      </c>
      <c r="G23" s="15">
        <v>1</v>
      </c>
      <c r="I23" s="10">
        <v>21</v>
      </c>
      <c r="J23" s="30" t="s">
        <v>82</v>
      </c>
      <c r="K23" s="18">
        <v>93</v>
      </c>
      <c r="L23" s="10">
        <v>95</v>
      </c>
    </row>
    <row r="24" spans="2:12" x14ac:dyDescent="0.2">
      <c r="B24" s="11" t="s">
        <v>83</v>
      </c>
      <c r="C24" s="12"/>
      <c r="E24" s="14" t="s">
        <v>51</v>
      </c>
      <c r="G24" s="15">
        <v>2</v>
      </c>
      <c r="I24" s="10">
        <v>22</v>
      </c>
      <c r="J24" s="30"/>
      <c r="K24" s="18">
        <v>98</v>
      </c>
      <c r="L24" s="10">
        <v>100</v>
      </c>
    </row>
    <row r="25" spans="2:12" x14ac:dyDescent="0.2">
      <c r="B25" s="14" t="s">
        <v>140</v>
      </c>
      <c r="C25" s="18">
        <v>0.02</v>
      </c>
      <c r="E25" s="14" t="s">
        <v>3</v>
      </c>
      <c r="G25" s="15">
        <v>3</v>
      </c>
      <c r="I25" s="10">
        <v>23</v>
      </c>
      <c r="J25" s="30"/>
      <c r="K25" s="18">
        <v>103</v>
      </c>
      <c r="L25" s="10">
        <v>105</v>
      </c>
    </row>
    <row r="26" spans="2:12" x14ac:dyDescent="0.2">
      <c r="B26" s="14" t="s">
        <v>5</v>
      </c>
      <c r="C26" s="18">
        <v>0.06</v>
      </c>
      <c r="E26" s="14" t="s">
        <v>52</v>
      </c>
      <c r="G26" s="15">
        <v>4</v>
      </c>
      <c r="I26" s="10">
        <v>24</v>
      </c>
      <c r="J26" s="30"/>
      <c r="K26" s="18">
        <v>162</v>
      </c>
      <c r="L26" s="10">
        <v>162</v>
      </c>
    </row>
    <row r="27" spans="2:12" ht="13.5" thickBot="1" x14ac:dyDescent="0.25">
      <c r="B27" s="14" t="s">
        <v>12</v>
      </c>
      <c r="C27" s="18">
        <v>0.02</v>
      </c>
      <c r="E27" s="25" t="s">
        <v>53</v>
      </c>
      <c r="F27" s="32"/>
      <c r="G27" s="31">
        <v>5</v>
      </c>
      <c r="I27" s="10">
        <v>25</v>
      </c>
      <c r="J27" s="30"/>
      <c r="K27" s="18">
        <v>170</v>
      </c>
      <c r="L27" s="10">
        <v>170</v>
      </c>
    </row>
    <row r="28" spans="2:12" ht="13.5" thickBot="1" x14ac:dyDescent="0.25">
      <c r="B28" s="14" t="s">
        <v>38</v>
      </c>
      <c r="C28" s="18">
        <v>0.04</v>
      </c>
      <c r="I28" s="10">
        <v>31</v>
      </c>
      <c r="J28" s="30" t="s">
        <v>84</v>
      </c>
      <c r="K28" s="18">
        <v>102</v>
      </c>
      <c r="L28" s="10">
        <v>110</v>
      </c>
    </row>
    <row r="29" spans="2:12" x14ac:dyDescent="0.2">
      <c r="B29" s="14" t="s">
        <v>7</v>
      </c>
      <c r="C29" s="18">
        <v>0.15</v>
      </c>
      <c r="E29" s="11" t="s">
        <v>17</v>
      </c>
      <c r="F29" s="13"/>
      <c r="G29" s="12"/>
      <c r="I29" s="10">
        <v>32</v>
      </c>
      <c r="J29" s="30"/>
      <c r="K29" s="18">
        <v>108</v>
      </c>
      <c r="L29" s="10">
        <v>115</v>
      </c>
    </row>
    <row r="30" spans="2:12" x14ac:dyDescent="0.2">
      <c r="B30" s="14" t="s">
        <v>135</v>
      </c>
      <c r="C30" s="18">
        <v>0.05</v>
      </c>
      <c r="E30" s="14" t="s">
        <v>85</v>
      </c>
      <c r="G30" s="15">
        <v>10</v>
      </c>
      <c r="I30" s="10">
        <v>33</v>
      </c>
      <c r="J30" s="30"/>
      <c r="K30" s="18">
        <v>113</v>
      </c>
      <c r="L30" s="10">
        <v>120</v>
      </c>
    </row>
    <row r="31" spans="2:12" x14ac:dyDescent="0.2">
      <c r="B31" s="14" t="s">
        <v>152</v>
      </c>
      <c r="C31" s="130">
        <v>-0.05</v>
      </c>
      <c r="E31" s="14" t="s">
        <v>86</v>
      </c>
      <c r="G31" s="15">
        <v>20</v>
      </c>
      <c r="I31" s="10">
        <v>34</v>
      </c>
      <c r="J31" s="30"/>
      <c r="K31" s="18">
        <v>189</v>
      </c>
      <c r="L31" s="10">
        <v>189</v>
      </c>
    </row>
    <row r="32" spans="2:12" x14ac:dyDescent="0.2">
      <c r="B32" s="19" t="s">
        <v>6</v>
      </c>
      <c r="C32" s="18">
        <v>0.02</v>
      </c>
      <c r="E32" s="14" t="s">
        <v>88</v>
      </c>
      <c r="G32" s="15">
        <v>30</v>
      </c>
      <c r="I32" s="10">
        <v>35</v>
      </c>
      <c r="J32" s="30"/>
      <c r="K32" s="18">
        <v>200</v>
      </c>
      <c r="L32" s="10">
        <v>200</v>
      </c>
    </row>
    <row r="33" spans="2:12" ht="13.5" thickBot="1" x14ac:dyDescent="0.25">
      <c r="B33" s="19" t="s">
        <v>87</v>
      </c>
      <c r="C33" s="18">
        <v>0.03</v>
      </c>
      <c r="E33" s="25" t="s">
        <v>21</v>
      </c>
      <c r="F33" s="32"/>
      <c r="G33" s="31">
        <v>40</v>
      </c>
      <c r="I33" s="10">
        <v>41</v>
      </c>
      <c r="J33" s="30" t="s">
        <v>21</v>
      </c>
      <c r="K33" s="18">
        <v>0</v>
      </c>
      <c r="L33" s="10">
        <v>0</v>
      </c>
    </row>
    <row r="34" spans="2:12" x14ac:dyDescent="0.2">
      <c r="B34" s="19" t="s">
        <v>11</v>
      </c>
      <c r="C34" s="18">
        <v>0.03</v>
      </c>
      <c r="I34" s="10">
        <v>42</v>
      </c>
      <c r="J34" s="30"/>
      <c r="K34" s="18">
        <v>0</v>
      </c>
      <c r="L34" s="10">
        <v>0</v>
      </c>
    </row>
    <row r="35" spans="2:12" ht="13.5" thickBot="1" x14ac:dyDescent="0.25">
      <c r="B35" s="33" t="s">
        <v>89</v>
      </c>
      <c r="C35" s="24">
        <v>0.05</v>
      </c>
      <c r="E35" s="9" t="s">
        <v>156</v>
      </c>
      <c r="I35" s="10">
        <v>42</v>
      </c>
      <c r="J35" s="30"/>
      <c r="K35" s="18">
        <v>80</v>
      </c>
      <c r="L35" s="10">
        <v>80</v>
      </c>
    </row>
    <row r="36" spans="2:12" x14ac:dyDescent="0.2">
      <c r="E36" s="9" t="s">
        <v>155</v>
      </c>
      <c r="F36" s="9">
        <v>8</v>
      </c>
      <c r="I36" s="10">
        <v>44</v>
      </c>
      <c r="J36" s="30"/>
      <c r="K36" s="18">
        <v>110</v>
      </c>
      <c r="L36" s="10">
        <v>110</v>
      </c>
    </row>
    <row r="37" spans="2:12" ht="13.5" thickBot="1" x14ac:dyDescent="0.25">
      <c r="E37" s="9" t="s">
        <v>157</v>
      </c>
      <c r="F37" s="9">
        <v>170</v>
      </c>
      <c r="I37" s="10">
        <v>45</v>
      </c>
      <c r="J37" s="34"/>
      <c r="K37" s="24">
        <v>185</v>
      </c>
      <c r="L37" s="10">
        <v>185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731E3-B08D-49E5-B463-A08CA5516B38}">
  <sheetPr codeName="Sheet4"/>
  <dimension ref="A1:AQ82"/>
  <sheetViews>
    <sheetView topLeftCell="AD2" zoomScaleNormal="100" workbookViewId="0">
      <pane ySplit="1" topLeftCell="A3" activePane="bottomLeft" state="frozen"/>
      <selection activeCell="J17" sqref="J17:M17"/>
      <selection pane="bottomLeft" activeCell="J17" sqref="J17:M17"/>
    </sheetView>
  </sheetViews>
  <sheetFormatPr defaultColWidth="9.140625" defaultRowHeight="12.75" x14ac:dyDescent="0.2"/>
  <cols>
    <col min="1" max="1" width="21.7109375" style="9" bestFit="1" customWidth="1"/>
    <col min="2" max="2" width="21.7109375" style="9" customWidth="1"/>
    <col min="3" max="3" width="10.28515625" style="35" bestFit="1" customWidth="1"/>
    <col min="4" max="4" width="14.85546875" style="9" bestFit="1" customWidth="1"/>
    <col min="5" max="5" width="7.85546875" style="9" bestFit="1" customWidth="1"/>
    <col min="6" max="6" width="13" style="9" customWidth="1"/>
    <col min="7" max="7" width="15.28515625" style="9" bestFit="1" customWidth="1"/>
    <col min="8" max="8" width="14.85546875" style="9" bestFit="1" customWidth="1"/>
    <col min="9" max="9" width="15.5703125" style="35" bestFit="1" customWidth="1"/>
    <col min="10" max="10" width="5.85546875" style="9" customWidth="1"/>
    <col min="11" max="11" width="15.28515625" style="9" bestFit="1" customWidth="1"/>
    <col min="12" max="12" width="12.5703125" style="9" bestFit="1" customWidth="1"/>
    <col min="13" max="13" width="13.5703125" style="9" bestFit="1" customWidth="1"/>
    <col min="14" max="14" width="13.5703125" style="9" customWidth="1"/>
    <col min="15" max="15" width="16.42578125" style="9" bestFit="1" customWidth="1"/>
    <col min="16" max="16" width="19.5703125" style="9" bestFit="1" customWidth="1"/>
    <col min="17" max="17" width="7.42578125" style="9" bestFit="1" customWidth="1"/>
    <col min="18" max="18" width="9.28515625" style="9" customWidth="1"/>
    <col min="19" max="19" width="14.85546875" style="9" bestFit="1" customWidth="1"/>
    <col min="20" max="20" width="16.140625" style="9" bestFit="1" customWidth="1"/>
    <col min="21" max="21" width="11.7109375" style="35" bestFit="1" customWidth="1"/>
    <col min="22" max="23" width="11.7109375" style="9" customWidth="1"/>
    <col min="24" max="24" width="18.7109375" style="9" bestFit="1" customWidth="1"/>
    <col min="25" max="25" width="17" style="9" bestFit="1" customWidth="1"/>
    <col min="26" max="26" width="17" style="9" customWidth="1"/>
    <col min="27" max="27" width="27.5703125" style="9" bestFit="1" customWidth="1"/>
    <col min="28" max="28" width="27.85546875" style="9" bestFit="1" customWidth="1"/>
    <col min="29" max="29" width="17.7109375" style="9" bestFit="1" customWidth="1"/>
    <col min="30" max="30" width="30" style="9" bestFit="1" customWidth="1"/>
    <col min="31" max="31" width="20.42578125" style="9" bestFit="1" customWidth="1"/>
    <col min="32" max="32" width="18" style="9" bestFit="1" customWidth="1"/>
    <col min="33" max="33" width="15.5703125" style="9" bestFit="1" customWidth="1"/>
    <col min="34" max="34" width="11.28515625" style="9" bestFit="1" customWidth="1"/>
    <col min="35" max="35" width="19.28515625" style="9" bestFit="1" customWidth="1"/>
    <col min="36" max="38" width="19.28515625" style="9" customWidth="1"/>
    <col min="39" max="39" width="17.28515625" style="9" bestFit="1" customWidth="1"/>
    <col min="40" max="40" width="12.28515625" style="35" bestFit="1" customWidth="1"/>
    <col min="41" max="41" width="7.7109375" style="9" bestFit="1" customWidth="1"/>
    <col min="42" max="42" width="10.28515625" style="9" bestFit="1" customWidth="1"/>
    <col min="43" max="43" width="15.85546875" style="36" bestFit="1" customWidth="1"/>
    <col min="44" max="16384" width="9.140625" style="9"/>
  </cols>
  <sheetData>
    <row r="1" spans="1:43" hidden="1" x14ac:dyDescent="0.2"/>
    <row r="2" spans="1:43" s="39" customFormat="1" ht="13.5" thickBot="1" x14ac:dyDescent="0.25">
      <c r="A2" s="37" t="s">
        <v>26</v>
      </c>
      <c r="B2" s="37" t="s">
        <v>142</v>
      </c>
      <c r="C2" s="38" t="s">
        <v>29</v>
      </c>
      <c r="D2" s="39" t="s">
        <v>30</v>
      </c>
      <c r="E2" s="39" t="s">
        <v>90</v>
      </c>
      <c r="F2" s="39" t="s">
        <v>91</v>
      </c>
      <c r="G2" s="39" t="s">
        <v>92</v>
      </c>
      <c r="H2" s="39" t="s">
        <v>93</v>
      </c>
      <c r="I2" s="40" t="s">
        <v>130</v>
      </c>
      <c r="J2" s="41" t="s">
        <v>5</v>
      </c>
      <c r="K2" s="41" t="s">
        <v>12</v>
      </c>
      <c r="L2" s="41" t="s">
        <v>38</v>
      </c>
      <c r="M2" s="41" t="s">
        <v>7</v>
      </c>
      <c r="N2" s="41" t="s">
        <v>152</v>
      </c>
      <c r="O2" s="41" t="s">
        <v>6</v>
      </c>
      <c r="P2" s="41"/>
      <c r="Q2" s="42" t="s">
        <v>87</v>
      </c>
      <c r="R2" s="42" t="s">
        <v>11</v>
      </c>
      <c r="S2" s="42" t="s">
        <v>89</v>
      </c>
      <c r="T2" s="41" t="s">
        <v>94</v>
      </c>
      <c r="U2" s="43" t="s">
        <v>1</v>
      </c>
      <c r="V2" s="44" t="s">
        <v>95</v>
      </c>
      <c r="W2" s="44">
        <v>0</v>
      </c>
      <c r="X2" s="44" t="s">
        <v>22</v>
      </c>
      <c r="Y2" s="44" t="s">
        <v>129</v>
      </c>
      <c r="Z2" s="45" t="s">
        <v>24</v>
      </c>
      <c r="AA2" s="45" t="s">
        <v>128</v>
      </c>
      <c r="AB2" s="44" t="s">
        <v>111</v>
      </c>
      <c r="AC2" s="44" t="s">
        <v>127</v>
      </c>
      <c r="AD2" s="45" t="s">
        <v>126</v>
      </c>
      <c r="AE2" s="44" t="s">
        <v>125</v>
      </c>
      <c r="AF2" s="44" t="s">
        <v>57</v>
      </c>
      <c r="AG2" s="44" t="s">
        <v>25</v>
      </c>
      <c r="AH2" s="44" t="s">
        <v>58</v>
      </c>
      <c r="AI2" s="46" t="s">
        <v>124</v>
      </c>
      <c r="AJ2" s="44" t="s">
        <v>96</v>
      </c>
      <c r="AK2" s="44" t="s">
        <v>97</v>
      </c>
      <c r="AL2" s="44" t="s">
        <v>158</v>
      </c>
      <c r="AM2" s="44" t="s">
        <v>98</v>
      </c>
      <c r="AN2" s="47" t="s">
        <v>41</v>
      </c>
      <c r="AO2" s="48" t="s">
        <v>99</v>
      </c>
      <c r="AP2" s="48" t="s">
        <v>100</v>
      </c>
      <c r="AQ2" s="49" t="s">
        <v>101</v>
      </c>
    </row>
    <row r="3" spans="1:43" x14ac:dyDescent="0.2">
      <c r="B3" s="9">
        <f>Klassningskalkyl!J11</f>
        <v>0</v>
      </c>
      <c r="C3" s="35">
        <f>Klassningskalkyl!N19</f>
        <v>12</v>
      </c>
      <c r="D3" s="9">
        <f>Klassningskalkyl!N21</f>
        <v>12</v>
      </c>
      <c r="E3" s="9">
        <f>D3-C3</f>
        <v>0</v>
      </c>
      <c r="F3" s="9">
        <f>IF(E3&lt;0,E3*Variabler!C22,E3*Variabler!C21)</f>
        <v>0</v>
      </c>
      <c r="G3" s="9">
        <f>IF(Klassningskalkyl!J23="Framhjulsdrift",Variabler!F8,IF(Klassningskalkyl!J23="Fyrhjulsdrift",Variabler!F10,Variabler!F9))</f>
        <v>0</v>
      </c>
      <c r="H3" s="9">
        <f>IF(Klassningskalkyl!J43="Diesel",BD,IF(Klassningskalkyl!J43="E85",BE,IF(Klassningskalkyl!J43="Race",BR,IF(Klassningskalkyl!J43="Bensin",BB,0))))</f>
        <v>0</v>
      </c>
      <c r="I3" s="35">
        <f>IF(Jämförelse!U3="x",Variabler!C25,0)</f>
        <v>0</v>
      </c>
      <c r="J3" s="9">
        <f>IF(Klassningskalkyl!J29="x",ABS/100,0)</f>
        <v>0</v>
      </c>
      <c r="K3" s="9">
        <f>IF(Klassningskalkyl!J37="x",Variabler!C27,0)</f>
        <v>0</v>
      </c>
      <c r="L3" s="9">
        <f>IF(Klassningskalkyl!J39="x",Variabler!C28,0)</f>
        <v>0</v>
      </c>
      <c r="M3" s="9">
        <f>IF(Klassningskalkyl!J25="x",Variabler!C29,0)</f>
        <v>0</v>
      </c>
      <c r="N3" s="9">
        <f>IF(Klassningskalkyl!J27="x",Stel_bakaxel,0)</f>
        <v>0</v>
      </c>
      <c r="O3" s="9">
        <f>IF(Jämförelse!AA3="x",Variabler!C30,0)</f>
        <v>0</v>
      </c>
      <c r="Q3" s="9">
        <f>IF(Jämförelse!AC3="x",Variabler!C33,0)</f>
        <v>0</v>
      </c>
      <c r="R3" s="9">
        <f>IF(Jämförelse!AD3="x",Variabler!C34,0)</f>
        <v>0</v>
      </c>
      <c r="S3" s="9">
        <f>IF(Jämförelse!AE3="x",Variabler!C35,0)</f>
        <v>0</v>
      </c>
      <c r="T3" s="9">
        <f>SUM(F3:S3)</f>
        <v>0</v>
      </c>
      <c r="U3" s="128">
        <f>Klassningskalkyl!J47</f>
        <v>0</v>
      </c>
      <c r="V3" s="35"/>
      <c r="X3" s="142">
        <f>IF(Jämförelse!AI3="x",(Monterad_katalysator)/100,0)</f>
        <v>0</v>
      </c>
      <c r="Y3" s="142">
        <f>IF(Jämförelse!AJ3="x",Planad_topp__1mm/100,0)</f>
        <v>0</v>
      </c>
      <c r="Z3" s="142">
        <f>IF(Jämförelse!AK3="x",Portad_topp/100,0)</f>
        <v>0</v>
      </c>
      <c r="AA3" s="142">
        <f>IF(Jämförelse!AL3="x",Trimchip__fast_mapp__sugmotor/100,0)</f>
        <v>0</v>
      </c>
      <c r="AB3" s="142">
        <f>IF(Jämförelse!AM3="x",Programmerbart_sprut_sugmotor/100,0)</f>
        <v>0</v>
      </c>
      <c r="AC3" s="142">
        <f>IF(Jämförelse!AN3="x",(Trimchip_turbomotor)/100,0)</f>
        <v>0</v>
      </c>
      <c r="AD3" s="142">
        <f>IF(Jämförelse!AO3="x",Programmerbart_sprut_turbomotor/100,0)</f>
        <v>0</v>
      </c>
      <c r="AE3" s="142">
        <f>IF(Jämförelse!AP3="x",Större_halsring_spridare/100,0)</f>
        <v>0</v>
      </c>
      <c r="AF3" s="142">
        <f>IF(Jämförelse!AQ3="x",Förändrad_tändkurva/100,0)</f>
        <v>0</v>
      </c>
      <c r="AG3" s="142">
        <f>IF(Jämförelse!AR3="x",Ej_original_grenrör/100,0)</f>
        <v>0</v>
      </c>
      <c r="AH3" s="142">
        <f>IF(Jämförelse!AS3="x",Ombyggd_IC/100,0)</f>
        <v>0</v>
      </c>
      <c r="AI3" s="142"/>
      <c r="AJ3" s="142">
        <f t="shared" ref="AJ3" si="0">SUM(W3:AI3)</f>
        <v>0</v>
      </c>
      <c r="AK3" s="9">
        <f>U3+(U3*(AJ3))</f>
        <v>0</v>
      </c>
      <c r="AL3" s="127">
        <f>IF(Klassningskalkyl!J45="Standard",IF(AK3&gt;=Variabler!F37,(AK3-Variabler!F37)*Variabler!F36/100,0),0)</f>
        <v>0</v>
      </c>
      <c r="AM3" s="127">
        <f>U3+(U3*(T3+AJ3))+AL3</f>
        <v>0</v>
      </c>
      <c r="AN3" s="35">
        <f>Jämförelse!AU3</f>
        <v>0</v>
      </c>
      <c r="AO3" s="9" t="e">
        <f>Jämförelse!BA3</f>
        <v>#N/A</v>
      </c>
      <c r="AP3" s="9" t="e">
        <f>SUM(AO3*AN3/1000)</f>
        <v>#N/A</v>
      </c>
      <c r="AQ3" s="36" t="e">
        <f t="shared" ref="AQ3" si="1">AP3+(AP3*T3)</f>
        <v>#N/A</v>
      </c>
    </row>
    <row r="4" spans="1:43" x14ac:dyDescent="0.2">
      <c r="V4" s="35"/>
    </row>
    <row r="5" spans="1:43" x14ac:dyDescent="0.2">
      <c r="V5" s="35"/>
    </row>
    <row r="6" spans="1:43" x14ac:dyDescent="0.2">
      <c r="V6" s="35"/>
    </row>
    <row r="7" spans="1:43" x14ac:dyDescent="0.2">
      <c r="V7" s="35"/>
    </row>
    <row r="8" spans="1:43" x14ac:dyDescent="0.2">
      <c r="V8" s="35"/>
    </row>
    <row r="9" spans="1:43" x14ac:dyDescent="0.2">
      <c r="V9" s="35"/>
    </row>
    <row r="10" spans="1:43" x14ac:dyDescent="0.2">
      <c r="V10" s="35"/>
    </row>
    <row r="11" spans="1:43" x14ac:dyDescent="0.2">
      <c r="V11" s="35"/>
    </row>
    <row r="12" spans="1:43" x14ac:dyDescent="0.2">
      <c r="V12" s="35"/>
    </row>
    <row r="13" spans="1:43" x14ac:dyDescent="0.2">
      <c r="V13" s="35"/>
    </row>
    <row r="14" spans="1:43" x14ac:dyDescent="0.2">
      <c r="V14" s="35"/>
    </row>
    <row r="15" spans="1:43" x14ac:dyDescent="0.2">
      <c r="V15" s="35"/>
    </row>
    <row r="16" spans="1:43" x14ac:dyDescent="0.2">
      <c r="V16" s="35"/>
    </row>
    <row r="17" spans="22:22" x14ac:dyDescent="0.2">
      <c r="V17" s="35"/>
    </row>
    <row r="18" spans="22:22" x14ac:dyDescent="0.2">
      <c r="V18" s="35"/>
    </row>
    <row r="19" spans="22:22" x14ac:dyDescent="0.2">
      <c r="V19" s="35"/>
    </row>
    <row r="20" spans="22:22" x14ac:dyDescent="0.2">
      <c r="V20" s="35"/>
    </row>
    <row r="21" spans="22:22" x14ac:dyDescent="0.2">
      <c r="V21" s="35"/>
    </row>
    <row r="22" spans="22:22" x14ac:dyDescent="0.2">
      <c r="V22" s="35"/>
    </row>
    <row r="23" spans="22:22" x14ac:dyDescent="0.2">
      <c r="V23" s="35"/>
    </row>
    <row r="24" spans="22:22" x14ac:dyDescent="0.2">
      <c r="V24" s="35"/>
    </row>
    <row r="25" spans="22:22" x14ac:dyDescent="0.2">
      <c r="V25" s="35"/>
    </row>
    <row r="26" spans="22:22" x14ac:dyDescent="0.2">
      <c r="V26" s="35"/>
    </row>
    <row r="27" spans="22:22" x14ac:dyDescent="0.2">
      <c r="V27" s="35"/>
    </row>
    <row r="28" spans="22:22" x14ac:dyDescent="0.2">
      <c r="V28" s="35"/>
    </row>
    <row r="29" spans="22:22" x14ac:dyDescent="0.2">
      <c r="V29" s="35"/>
    </row>
    <row r="30" spans="22:22" x14ac:dyDescent="0.2">
      <c r="V30" s="35"/>
    </row>
    <row r="31" spans="22:22" x14ac:dyDescent="0.2">
      <c r="V31" s="35"/>
    </row>
    <row r="32" spans="22:22" x14ac:dyDescent="0.2">
      <c r="V32" s="35"/>
    </row>
    <row r="33" spans="22:22" x14ac:dyDescent="0.2">
      <c r="V33" s="35"/>
    </row>
    <row r="34" spans="22:22" x14ac:dyDescent="0.2">
      <c r="V34" s="35"/>
    </row>
    <row r="35" spans="22:22" x14ac:dyDescent="0.2">
      <c r="V35" s="35"/>
    </row>
    <row r="36" spans="22:22" x14ac:dyDescent="0.2">
      <c r="V36" s="35"/>
    </row>
    <row r="37" spans="22:22" x14ac:dyDescent="0.2">
      <c r="V37" s="35"/>
    </row>
    <row r="38" spans="22:22" x14ac:dyDescent="0.2">
      <c r="V38" s="35"/>
    </row>
    <row r="39" spans="22:22" x14ac:dyDescent="0.2">
      <c r="V39" s="35"/>
    </row>
    <row r="40" spans="22:22" x14ac:dyDescent="0.2">
      <c r="V40" s="35"/>
    </row>
    <row r="41" spans="22:22" x14ac:dyDescent="0.2">
      <c r="V41" s="35"/>
    </row>
    <row r="42" spans="22:22" x14ac:dyDescent="0.2">
      <c r="V42" s="35"/>
    </row>
    <row r="43" spans="22:22" x14ac:dyDescent="0.2">
      <c r="V43" s="35"/>
    </row>
    <row r="44" spans="22:22" x14ac:dyDescent="0.2">
      <c r="V44" s="35"/>
    </row>
    <row r="45" spans="22:22" x14ac:dyDescent="0.2">
      <c r="V45" s="35"/>
    </row>
    <row r="46" spans="22:22" x14ac:dyDescent="0.2">
      <c r="V46" s="35"/>
    </row>
    <row r="47" spans="22:22" x14ac:dyDescent="0.2">
      <c r="V47" s="35"/>
    </row>
    <row r="48" spans="22:22" x14ac:dyDescent="0.2">
      <c r="V48" s="35"/>
    </row>
    <row r="49" spans="22:22" x14ac:dyDescent="0.2">
      <c r="V49" s="35"/>
    </row>
    <row r="50" spans="22:22" x14ac:dyDescent="0.2">
      <c r="V50" s="35"/>
    </row>
    <row r="51" spans="22:22" x14ac:dyDescent="0.2">
      <c r="V51" s="35"/>
    </row>
    <row r="52" spans="22:22" x14ac:dyDescent="0.2">
      <c r="V52" s="35"/>
    </row>
    <row r="53" spans="22:22" x14ac:dyDescent="0.2">
      <c r="V53" s="35"/>
    </row>
    <row r="54" spans="22:22" x14ac:dyDescent="0.2">
      <c r="V54" s="35"/>
    </row>
    <row r="55" spans="22:22" x14ac:dyDescent="0.2">
      <c r="V55" s="35"/>
    </row>
    <row r="56" spans="22:22" x14ac:dyDescent="0.2">
      <c r="V56" s="35"/>
    </row>
    <row r="57" spans="22:22" x14ac:dyDescent="0.2">
      <c r="V57" s="35"/>
    </row>
    <row r="58" spans="22:22" x14ac:dyDescent="0.2">
      <c r="V58" s="35"/>
    </row>
    <row r="59" spans="22:22" x14ac:dyDescent="0.2">
      <c r="V59" s="35"/>
    </row>
    <row r="60" spans="22:22" x14ac:dyDescent="0.2">
      <c r="V60" s="35"/>
    </row>
    <row r="61" spans="22:22" x14ac:dyDescent="0.2">
      <c r="V61" s="35"/>
    </row>
    <row r="62" spans="22:22" x14ac:dyDescent="0.2">
      <c r="V62" s="35"/>
    </row>
    <row r="63" spans="22:22" x14ac:dyDescent="0.2">
      <c r="V63" s="35"/>
    </row>
    <row r="64" spans="22:22" x14ac:dyDescent="0.2">
      <c r="V64" s="35"/>
    </row>
    <row r="65" spans="22:22" x14ac:dyDescent="0.2">
      <c r="V65" s="35"/>
    </row>
    <row r="66" spans="22:22" x14ac:dyDescent="0.2">
      <c r="V66" s="35"/>
    </row>
    <row r="67" spans="22:22" x14ac:dyDescent="0.2">
      <c r="V67" s="35"/>
    </row>
    <row r="68" spans="22:22" x14ac:dyDescent="0.2">
      <c r="V68" s="35"/>
    </row>
    <row r="69" spans="22:22" x14ac:dyDescent="0.2">
      <c r="V69" s="35"/>
    </row>
    <row r="70" spans="22:22" x14ac:dyDescent="0.2">
      <c r="V70" s="35"/>
    </row>
    <row r="71" spans="22:22" x14ac:dyDescent="0.2">
      <c r="V71" s="35"/>
    </row>
    <row r="72" spans="22:22" x14ac:dyDescent="0.2">
      <c r="V72" s="35"/>
    </row>
    <row r="73" spans="22:22" x14ac:dyDescent="0.2">
      <c r="V73" s="35"/>
    </row>
    <row r="74" spans="22:22" x14ac:dyDescent="0.2">
      <c r="V74" s="35"/>
    </row>
    <row r="75" spans="22:22" x14ac:dyDescent="0.2">
      <c r="V75" s="35"/>
    </row>
    <row r="76" spans="22:22" x14ac:dyDescent="0.2">
      <c r="V76" s="35"/>
    </row>
    <row r="77" spans="22:22" x14ac:dyDescent="0.2">
      <c r="V77" s="35"/>
    </row>
    <row r="78" spans="22:22" x14ac:dyDescent="0.2">
      <c r="V78" s="35"/>
    </row>
    <row r="79" spans="22:22" x14ac:dyDescent="0.2">
      <c r="V79" s="35"/>
    </row>
    <row r="80" spans="22:22" x14ac:dyDescent="0.2">
      <c r="V80" s="35"/>
    </row>
    <row r="81" spans="22:22" x14ac:dyDescent="0.2">
      <c r="V81" s="35"/>
    </row>
    <row r="82" spans="22:22" x14ac:dyDescent="0.2">
      <c r="V82" s="35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9A4ED-2496-4DCA-8239-668E4363D120}">
  <sheetPr codeName="Sheet5"/>
  <dimension ref="A1:BA82"/>
  <sheetViews>
    <sheetView zoomScaleNormal="100" workbookViewId="0">
      <pane xSplit="1" ySplit="2" topLeftCell="B3" activePane="bottomRight" state="frozen"/>
      <selection activeCell="J17" sqref="J17:M17"/>
      <selection pane="topRight" activeCell="J17" sqref="J17:M17"/>
      <selection pane="bottomLeft" activeCell="J17" sqref="J17:M17"/>
      <selection pane="bottomRight" activeCell="J17" sqref="J17:M17"/>
    </sheetView>
  </sheetViews>
  <sheetFormatPr defaultColWidth="9.140625" defaultRowHeight="12.75" x14ac:dyDescent="0.2"/>
  <cols>
    <col min="1" max="1" width="22.5703125" style="69" customWidth="1"/>
    <col min="2" max="2" width="17.42578125" style="76" bestFit="1" customWidth="1"/>
    <col min="3" max="3" width="10.28515625" style="76" customWidth="1"/>
    <col min="4" max="4" width="10.28515625" style="81" customWidth="1"/>
    <col min="5" max="5" width="11.42578125" style="82" customWidth="1"/>
    <col min="6" max="6" width="11.42578125" style="10" customWidth="1"/>
    <col min="7" max="7" width="4.28515625" style="78" customWidth="1"/>
    <col min="8" max="8" width="10.28515625" style="10" bestFit="1" customWidth="1"/>
    <col min="9" max="9" width="12" style="10" bestFit="1" customWidth="1"/>
    <col min="10" max="11" width="12" style="10" customWidth="1"/>
    <col min="12" max="12" width="11.42578125" style="10" customWidth="1"/>
    <col min="13" max="13" width="4.28515625" style="10" customWidth="1"/>
    <col min="14" max="14" width="9" style="76" bestFit="1" customWidth="1"/>
    <col min="15" max="15" width="11.7109375" style="10" bestFit="1" customWidth="1"/>
    <col min="16" max="16" width="9.7109375" style="10" customWidth="1"/>
    <col min="17" max="17" width="9.7109375" style="10" bestFit="1" customWidth="1"/>
    <col min="18" max="18" width="9.7109375" style="10" customWidth="1"/>
    <col min="19" max="19" width="12.85546875" style="10" customWidth="1"/>
    <col min="20" max="20" width="17.28515625" style="10" bestFit="1" customWidth="1"/>
    <col min="21" max="21" width="13" style="76" bestFit="1" customWidth="1"/>
    <col min="22" max="22" width="7.140625" style="10" bestFit="1" customWidth="1"/>
    <col min="23" max="23" width="18.140625" style="10" bestFit="1" customWidth="1"/>
    <col min="24" max="24" width="14.42578125" style="10" bestFit="1" customWidth="1"/>
    <col min="25" max="25" width="15.85546875" style="10" bestFit="1" customWidth="1"/>
    <col min="26" max="26" width="15.85546875" style="10" customWidth="1"/>
    <col min="27" max="27" width="18.7109375" style="10" bestFit="1" customWidth="1"/>
    <col min="28" max="28" width="22.85546875" style="10" bestFit="1" customWidth="1"/>
    <col min="29" max="29" width="9.7109375" style="10" bestFit="1" customWidth="1"/>
    <col min="30" max="30" width="11.5703125" style="10" bestFit="1" customWidth="1"/>
    <col min="31" max="31" width="16.7109375" style="10" bestFit="1" customWidth="1"/>
    <col min="32" max="32" width="14.140625" style="76" customWidth="1"/>
    <col min="33" max="33" width="14.140625" style="10" customWidth="1"/>
    <col min="34" max="34" width="14.85546875" style="10" customWidth="1"/>
    <col min="35" max="35" width="21" style="10" bestFit="1" customWidth="1"/>
    <col min="36" max="36" width="19.140625" style="10" bestFit="1" customWidth="1"/>
    <col min="37" max="37" width="19.140625" style="10" customWidth="1"/>
    <col min="38" max="38" width="29.85546875" style="10" bestFit="1" customWidth="1"/>
    <col min="39" max="39" width="30.140625" style="10" bestFit="1" customWidth="1"/>
    <col min="40" max="40" width="20" style="10" bestFit="1" customWidth="1"/>
    <col min="41" max="41" width="31.140625" style="10" customWidth="1"/>
    <col min="42" max="42" width="22.5703125" style="10" bestFit="1" customWidth="1"/>
    <col min="43" max="43" width="20.28515625" style="10" bestFit="1" customWidth="1"/>
    <col min="44" max="44" width="17.85546875" style="10" bestFit="1" customWidth="1"/>
    <col min="45" max="45" width="13.5703125" style="10" bestFit="1" customWidth="1"/>
    <col min="46" max="46" width="21.5703125" style="78" bestFit="1" customWidth="1"/>
    <col min="47" max="47" width="14.7109375" style="10" bestFit="1" customWidth="1"/>
    <col min="48" max="48" width="15.28515625" style="10" bestFit="1" customWidth="1"/>
    <col min="49" max="49" width="7.28515625" style="10" bestFit="1" customWidth="1"/>
    <col min="50" max="50" width="12.5703125" style="9" customWidth="1"/>
    <col min="51" max="51" width="9.5703125" style="9" customWidth="1"/>
    <col min="52" max="53" width="9.140625" style="9" customWidth="1"/>
    <col min="54" max="16384" width="9.140625" style="9"/>
  </cols>
  <sheetData>
    <row r="1" spans="1:53" s="26" customFormat="1" x14ac:dyDescent="0.2">
      <c r="A1" s="50"/>
      <c r="B1" s="51"/>
      <c r="C1" s="52" t="s">
        <v>102</v>
      </c>
      <c r="D1" s="53"/>
      <c r="E1" s="54"/>
      <c r="F1" s="55"/>
      <c r="G1" s="56"/>
      <c r="H1" s="57" t="s">
        <v>103</v>
      </c>
      <c r="I1" s="57"/>
      <c r="J1" s="57"/>
      <c r="K1" s="57"/>
      <c r="L1" s="57"/>
      <c r="M1" s="57"/>
      <c r="N1" s="51" t="s">
        <v>104</v>
      </c>
      <c r="O1" s="58"/>
      <c r="P1" s="58"/>
      <c r="Q1" s="58"/>
      <c r="R1" s="58"/>
      <c r="S1" s="58"/>
      <c r="T1" s="58"/>
      <c r="U1" s="59" t="s">
        <v>83</v>
      </c>
      <c r="V1" s="60"/>
      <c r="W1" s="60"/>
      <c r="X1" s="60"/>
      <c r="Y1" s="60"/>
      <c r="Z1" s="60"/>
      <c r="AA1" s="60"/>
      <c r="AB1" s="60"/>
      <c r="AC1" s="60"/>
      <c r="AD1" s="60"/>
      <c r="AE1" s="60"/>
      <c r="AF1" s="61" t="s">
        <v>43</v>
      </c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62"/>
      <c r="AU1" s="63" t="s">
        <v>16</v>
      </c>
      <c r="AV1" s="63"/>
      <c r="AW1" s="63"/>
      <c r="AX1" s="55"/>
      <c r="AY1" s="55"/>
      <c r="AZ1" s="55"/>
      <c r="BA1" s="55"/>
    </row>
    <row r="2" spans="1:53" s="68" customFormat="1" ht="13.5" thickBot="1" x14ac:dyDescent="0.25">
      <c r="A2" s="64" t="s">
        <v>26</v>
      </c>
      <c r="B2" s="40" t="s">
        <v>105</v>
      </c>
      <c r="C2" s="41" t="s">
        <v>33</v>
      </c>
      <c r="D2" s="65" t="s">
        <v>40</v>
      </c>
      <c r="E2" s="66" t="s">
        <v>106</v>
      </c>
      <c r="F2" s="41" t="s">
        <v>34</v>
      </c>
      <c r="G2" s="67" t="s">
        <v>32</v>
      </c>
      <c r="H2" s="41" t="s">
        <v>33</v>
      </c>
      <c r="I2" s="41" t="s">
        <v>40</v>
      </c>
      <c r="J2" s="41" t="s">
        <v>39</v>
      </c>
      <c r="K2" s="41" t="s">
        <v>106</v>
      </c>
      <c r="L2" s="41" t="s">
        <v>34</v>
      </c>
      <c r="M2" s="41" t="s">
        <v>32</v>
      </c>
      <c r="N2" s="40" t="s">
        <v>107</v>
      </c>
      <c r="O2" s="41" t="s">
        <v>108</v>
      </c>
      <c r="P2" s="41" t="s">
        <v>14</v>
      </c>
      <c r="Q2" s="41" t="s">
        <v>15</v>
      </c>
      <c r="R2" s="41" t="s">
        <v>109</v>
      </c>
      <c r="S2" s="41" t="s">
        <v>29</v>
      </c>
      <c r="T2" s="41" t="s">
        <v>30</v>
      </c>
      <c r="U2" s="40" t="s">
        <v>130</v>
      </c>
      <c r="V2" s="41" t="s">
        <v>5</v>
      </c>
      <c r="W2" s="41" t="s">
        <v>12</v>
      </c>
      <c r="X2" s="41" t="s">
        <v>38</v>
      </c>
      <c r="Y2" s="41" t="s">
        <v>7</v>
      </c>
      <c r="Z2" s="41" t="s">
        <v>152</v>
      </c>
      <c r="AA2" s="41" t="s">
        <v>6</v>
      </c>
      <c r="AB2" s="42" t="s">
        <v>37</v>
      </c>
      <c r="AC2" s="42" t="s">
        <v>87</v>
      </c>
      <c r="AD2" s="42" t="s">
        <v>11</v>
      </c>
      <c r="AE2" s="42" t="s">
        <v>89</v>
      </c>
      <c r="AF2" s="40" t="s">
        <v>1</v>
      </c>
      <c r="AG2" s="41"/>
      <c r="AH2" s="42">
        <v>0</v>
      </c>
      <c r="AI2" s="42" t="s">
        <v>22</v>
      </c>
      <c r="AJ2" s="41" t="s">
        <v>23</v>
      </c>
      <c r="AK2" s="42" t="s">
        <v>24</v>
      </c>
      <c r="AL2" s="42" t="s">
        <v>110</v>
      </c>
      <c r="AM2" s="41" t="s">
        <v>111</v>
      </c>
      <c r="AN2" s="41" t="s">
        <v>112</v>
      </c>
      <c r="AO2" s="42" t="s">
        <v>113</v>
      </c>
      <c r="AP2" s="41" t="s">
        <v>114</v>
      </c>
      <c r="AQ2" s="41" t="s">
        <v>57</v>
      </c>
      <c r="AR2" s="41" t="s">
        <v>25</v>
      </c>
      <c r="AS2" s="41" t="s">
        <v>58</v>
      </c>
      <c r="AT2" s="67" t="s">
        <v>115</v>
      </c>
      <c r="AU2" s="41" t="s">
        <v>41</v>
      </c>
      <c r="AV2" s="41" t="s">
        <v>2</v>
      </c>
      <c r="AW2" s="41" t="s">
        <v>17</v>
      </c>
      <c r="AX2" s="68" t="s">
        <v>116</v>
      </c>
      <c r="AY2" s="68" t="s">
        <v>117</v>
      </c>
      <c r="AZ2" s="68" t="s">
        <v>118</v>
      </c>
      <c r="BA2" s="68" t="s">
        <v>99</v>
      </c>
    </row>
    <row r="3" spans="1:53" ht="15" x14ac:dyDescent="0.25">
      <c r="B3" s="84">
        <f>Klassningskalkyl!J45</f>
        <v>0</v>
      </c>
      <c r="C3" s="84" t="str">
        <f>IFERROR(ROUNDUP(VLOOKUP(Beräkning!B3,Variabler!E3:F5,2,FALSE)*I3,0),"")</f>
        <v/>
      </c>
      <c r="D3" s="72"/>
      <c r="E3" s="73"/>
      <c r="F3" s="74"/>
      <c r="G3" s="75"/>
      <c r="H3" s="85" t="str">
        <f>Klassningskalkyl!J68</f>
        <v/>
      </c>
      <c r="I3" s="86" t="e">
        <f>IF(B3="Standard",Beräkning!AM3,Beräkning!AQ3)</f>
        <v>#N/A</v>
      </c>
      <c r="J3" s="86" t="e">
        <f>IF(B3="Standard",Beräkning!AK3,Beräkning!AP3)</f>
        <v>#N/A</v>
      </c>
      <c r="K3" s="86" t="e">
        <f>IF(M3="I", H3-(ViktI*I3), IF(M3="II", H3-(ViktII*I3), IF(M3="III", H3-(ViktIII*I3),"Klassar ej")))</f>
        <v>#VALUE!</v>
      </c>
      <c r="L3" s="96" t="str">
        <f>IFERROR(ROUNDDOWN(H3/I3,2), " ")</f>
        <v xml:space="preserve"> </v>
      </c>
      <c r="M3" s="75" t="str">
        <f>IF(L3&lt;ViktI,"-",IF(L3&lt;ViktII,"I",IF(L3&lt;ViktIII,"II",IF(L3="Saknas Data"," ","III"))))</f>
        <v>III</v>
      </c>
      <c r="N3" s="84">
        <f>Klassningskalkyl!J15</f>
        <v>0</v>
      </c>
      <c r="O3" s="83">
        <f>Klassningskalkyl!J17</f>
        <v>0</v>
      </c>
      <c r="P3" s="83">
        <f>Klassningskalkyl!J43</f>
        <v>0</v>
      </c>
      <c r="Q3" s="83">
        <f>Klassningskalkyl!J23</f>
        <v>0</v>
      </c>
      <c r="R3" s="83">
        <f>Klassningskalkyl!O19</f>
        <v>12</v>
      </c>
      <c r="S3" s="87" cm="1">
        <f t="array" ref="S3">INDEX(Variabler!B4:B15,R3)</f>
        <v>295</v>
      </c>
      <c r="T3" s="83">
        <f>Klassningskalkyl!J21</f>
        <v>0</v>
      </c>
      <c r="U3" s="76">
        <f>IF(Klassningskalkyl!J31="Manuell","x",0)</f>
        <v>0</v>
      </c>
      <c r="V3" s="83">
        <f>Klassningskalkyl!J29</f>
        <v>0</v>
      </c>
      <c r="W3" s="83">
        <f>Klassningskalkyl!J37</f>
        <v>0</v>
      </c>
      <c r="X3" s="83">
        <f>Klassningskalkyl!J39</f>
        <v>0</v>
      </c>
      <c r="Y3" s="83">
        <f>Klassningskalkyl!J25</f>
        <v>0</v>
      </c>
      <c r="Z3" s="83">
        <f>Klassningskalkyl!J27</f>
        <v>0</v>
      </c>
      <c r="AA3" s="83">
        <f>IF(Klassningskalkyl!J31="Sekventiell","x",0)</f>
        <v>0</v>
      </c>
      <c r="AB3" s="83"/>
      <c r="AC3" s="83">
        <f>Klassningskalkyl!J33</f>
        <v>0</v>
      </c>
      <c r="AD3" s="83">
        <f>Klassningskalkyl!J35</f>
        <v>0</v>
      </c>
      <c r="AE3" s="83">
        <f>Klassningskalkyl!J41</f>
        <v>0</v>
      </c>
      <c r="AF3" s="84">
        <f>Klassningskalkyl!J47</f>
        <v>0</v>
      </c>
      <c r="AI3" s="83">
        <f>IF(Klassningskalkyl!J49="Insprutning",Klassningskalkyl!J55,IF(Klassningskalkyl!J49="Förgasare 1 sp / 2 cyl",Klassningskalkyl!J55,IF(Klassningskalkyl!J49="Förgasare 1 sp / 1 cyl",Klassningskalkyl!J55,0)))</f>
        <v>0</v>
      </c>
      <c r="AJ3" s="83">
        <f>Klassningskalkyl!J51</f>
        <v>0</v>
      </c>
      <c r="AK3" s="83">
        <f>Klassningskalkyl!J53</f>
        <v>0</v>
      </c>
      <c r="AL3" s="83">
        <f>IF(Klassningskalkyl!J49="Insprutning",Klassningskalkyl!J59,0)</f>
        <v>0</v>
      </c>
      <c r="AM3" s="83">
        <f>IF(Klassningskalkyl!J49="Insprutning",Klassningskalkyl!J61,0)</f>
        <v>0</v>
      </c>
      <c r="AN3" s="83">
        <f>IF(Klassningskalkyl!J49="Kompressor",Klassningskalkyl!J55,IF(Klassningskalkyl!J49="Turbo",Klassningskalkyl!J55,0))</f>
        <v>0</v>
      </c>
      <c r="AO3" s="83">
        <f>IF(Klassningskalkyl!J49="Kompressor",Klassningskalkyl!J57,IF(Klassningskalkyl!J49="Turbo",Klassningskalkyl!J57,0))</f>
        <v>0</v>
      </c>
      <c r="AP3" s="83">
        <f>IF(Klassningskalkyl!J49="Insprutning",Klassningskalkyl!J57,IF(Klassningskalkyl!J49="Förgasare 1 sp / 2 cyl",Klassningskalkyl!J57,IF(Klassningskalkyl!J49="Förgasare 1 sp / 1 cyl",Klassningskalkyl!J57,0)))</f>
        <v>0</v>
      </c>
      <c r="AQ3" s="83">
        <f>IF(Klassningskalkyl!J49="Förgasare 1 sp / 2 cyl",Klassningskalkyl!J59,IF(Klassningskalkyl!J49="Förgasare 1 sp / 1 cyl",Klassningskalkyl!J59,0))</f>
        <v>0</v>
      </c>
      <c r="AR3" s="83">
        <f>IF(Klassningskalkyl!J49="Insprutning",Klassningskalkyl!J63,IF(Klassningskalkyl!J49="Förgasare 1 sp / 2 cyl",Klassningskalkyl!J61,IF(Klassningskalkyl!J49="Förgasare 1 sp / 1 cyl",Klassningskalkyl!J61,0)))</f>
        <v>0</v>
      </c>
      <c r="AS3" s="83">
        <f>IF(Klassningskalkyl!J49="Kompressor",Klassningskalkyl!J59,IF(Klassningskalkyl!J49="Turbo",Klassningskalkyl!J59,0))</f>
        <v>0</v>
      </c>
      <c r="AU3" s="10">
        <f>Klassningskalkyl!J47</f>
        <v>0</v>
      </c>
      <c r="AV3" s="77">
        <f>Klassningskalkyl!J49</f>
        <v>0</v>
      </c>
      <c r="AW3" s="77" t="str">
        <f>Klassningskalkyl!K51</f>
        <v>2V</v>
      </c>
      <c r="AX3" s="9" t="e">
        <f>VLOOKUP(AV3,Variabler!E23:G27,3,FALSE)</f>
        <v>#N/A</v>
      </c>
      <c r="AY3" s="9">
        <f>VLOOKUP(AW3,Variabler!E30:G33,3,FALSE)</f>
        <v>10</v>
      </c>
      <c r="AZ3" s="9" t="e">
        <f t="shared" ref="AZ3" si="0">SUM(AX3:AY3)</f>
        <v>#N/A</v>
      </c>
      <c r="BA3" s="9" t="e">
        <f>VLOOKUP(AZ3,Variabler!I17:K36,3,FALSE)</f>
        <v>#N/A</v>
      </c>
    </row>
    <row r="4" spans="1:53" x14ac:dyDescent="0.2">
      <c r="A4" s="79"/>
      <c r="B4" s="70"/>
      <c r="C4" s="71"/>
      <c r="D4" s="72"/>
      <c r="E4" s="73"/>
      <c r="F4" s="74"/>
      <c r="G4" s="74"/>
      <c r="H4" s="74"/>
      <c r="I4" s="72"/>
      <c r="J4" s="72"/>
      <c r="K4" s="72"/>
      <c r="L4" s="74"/>
      <c r="M4" s="74"/>
      <c r="P4" s="77"/>
      <c r="Q4" s="77"/>
      <c r="S4" s="80"/>
      <c r="T4" s="77"/>
      <c r="AV4" s="77"/>
      <c r="AW4" s="77"/>
    </row>
    <row r="5" spans="1:53" x14ac:dyDescent="0.2">
      <c r="B5" s="70"/>
      <c r="C5" s="71"/>
      <c r="D5" s="72"/>
      <c r="E5" s="73"/>
      <c r="F5" s="74"/>
      <c r="G5" s="74"/>
      <c r="H5" s="74"/>
      <c r="I5" s="72"/>
      <c r="J5" s="72"/>
      <c r="K5" s="72"/>
      <c r="L5" s="74"/>
      <c r="M5" s="74"/>
      <c r="P5" s="77"/>
      <c r="Q5" s="77"/>
      <c r="S5" s="80"/>
      <c r="T5" s="77"/>
      <c r="AV5" s="77"/>
      <c r="AW5" s="77"/>
    </row>
    <row r="6" spans="1:53" x14ac:dyDescent="0.2">
      <c r="A6" s="79"/>
      <c r="B6" s="70"/>
      <c r="C6" s="71"/>
      <c r="D6" s="72"/>
      <c r="E6" s="73"/>
      <c r="F6" s="74"/>
      <c r="G6" s="74"/>
      <c r="H6" s="74"/>
      <c r="I6" s="72"/>
      <c r="J6" s="72"/>
      <c r="K6" s="72"/>
      <c r="L6" s="74"/>
      <c r="M6" s="74"/>
      <c r="P6" s="77"/>
      <c r="Q6" s="77"/>
      <c r="S6" s="80"/>
      <c r="T6" s="77"/>
      <c r="AV6" s="77"/>
      <c r="AW6" s="77"/>
    </row>
    <row r="7" spans="1:53" x14ac:dyDescent="0.2">
      <c r="B7" s="70"/>
      <c r="C7" s="71"/>
      <c r="D7" s="72"/>
      <c r="E7" s="73"/>
      <c r="F7" s="74"/>
      <c r="G7" s="74"/>
      <c r="H7" s="74"/>
      <c r="I7" s="72">
        <v>0.8</v>
      </c>
      <c r="J7" s="72"/>
      <c r="K7" s="72">
        <f>ROUNDDOWN(I7,0)</f>
        <v>0</v>
      </c>
      <c r="L7" s="74"/>
      <c r="M7" s="74"/>
      <c r="P7" s="77"/>
      <c r="Q7" s="77"/>
      <c r="S7" s="80"/>
      <c r="T7" s="77"/>
      <c r="AV7" s="77"/>
      <c r="AW7" s="77"/>
    </row>
    <row r="8" spans="1:53" x14ac:dyDescent="0.2">
      <c r="A8" s="79"/>
      <c r="B8" s="70"/>
      <c r="C8" s="71"/>
      <c r="D8" s="72"/>
      <c r="E8" s="73"/>
      <c r="F8" s="74"/>
      <c r="G8" s="74"/>
      <c r="H8" s="74"/>
      <c r="I8" s="72"/>
      <c r="J8" s="72"/>
      <c r="K8" s="72"/>
      <c r="L8" s="74"/>
      <c r="M8" s="74"/>
      <c r="P8" s="77"/>
      <c r="Q8" s="77"/>
      <c r="S8" s="80"/>
      <c r="T8" s="77"/>
      <c r="AV8" s="77"/>
      <c r="AW8" s="77"/>
    </row>
    <row r="9" spans="1:53" x14ac:dyDescent="0.2">
      <c r="B9" s="70"/>
      <c r="C9" s="71"/>
      <c r="D9" s="72"/>
      <c r="E9" s="73"/>
      <c r="F9" s="74"/>
      <c r="G9" s="74"/>
      <c r="H9" s="74"/>
      <c r="I9" s="72"/>
      <c r="J9" s="72"/>
      <c r="K9" s="72"/>
      <c r="L9" s="74"/>
      <c r="M9" s="74"/>
      <c r="P9" s="77"/>
      <c r="Q9" s="77"/>
      <c r="S9" s="80"/>
      <c r="T9" s="77"/>
      <c r="AV9" s="77"/>
      <c r="AW9" s="77"/>
    </row>
    <row r="10" spans="1:53" x14ac:dyDescent="0.2">
      <c r="B10" s="70"/>
      <c r="C10" s="71"/>
      <c r="D10" s="72"/>
      <c r="E10" s="73"/>
      <c r="F10" s="74"/>
      <c r="G10" s="74"/>
      <c r="H10" s="74"/>
      <c r="I10" s="72"/>
      <c r="J10" s="72"/>
      <c r="K10" s="72"/>
      <c r="L10" s="74"/>
      <c r="M10" s="74"/>
      <c r="P10" s="77"/>
      <c r="Q10" s="77"/>
      <c r="S10" s="80"/>
      <c r="T10" s="77"/>
      <c r="AV10" s="77"/>
      <c r="AW10" s="77"/>
    </row>
    <row r="11" spans="1:53" x14ac:dyDescent="0.2">
      <c r="B11" s="70"/>
      <c r="C11" s="71"/>
      <c r="D11" s="72"/>
      <c r="E11" s="73"/>
      <c r="F11" s="74"/>
      <c r="G11" s="74"/>
      <c r="H11" s="74"/>
      <c r="I11" s="72"/>
      <c r="J11" s="72"/>
      <c r="K11" s="72"/>
      <c r="L11" s="74"/>
      <c r="M11" s="74"/>
      <c r="P11" s="77"/>
      <c r="Q11" s="77"/>
      <c r="S11" s="80"/>
      <c r="T11" s="77"/>
      <c r="AV11" s="77"/>
      <c r="AW11" s="77"/>
    </row>
    <row r="12" spans="1:53" x14ac:dyDescent="0.2">
      <c r="B12" s="70"/>
      <c r="C12" s="71"/>
      <c r="D12" s="72"/>
      <c r="E12" s="73"/>
      <c r="F12" s="74"/>
      <c r="G12" s="74"/>
      <c r="H12" s="74"/>
      <c r="I12" s="72"/>
      <c r="J12" s="72"/>
      <c r="K12" s="72"/>
      <c r="L12" s="74"/>
      <c r="M12" s="74"/>
      <c r="P12" s="77"/>
      <c r="Q12" s="77"/>
      <c r="S12" s="80"/>
      <c r="T12" s="77"/>
      <c r="AV12" s="77"/>
      <c r="AW12" s="77"/>
    </row>
    <row r="13" spans="1:53" x14ac:dyDescent="0.2">
      <c r="B13" s="70"/>
      <c r="C13" s="71"/>
      <c r="D13" s="72"/>
      <c r="E13" s="73"/>
      <c r="F13" s="74"/>
      <c r="G13" s="74"/>
      <c r="H13" s="74"/>
      <c r="I13" s="72"/>
      <c r="J13" s="72"/>
      <c r="K13" s="72"/>
      <c r="L13" s="74"/>
      <c r="M13" s="74"/>
      <c r="P13" s="77"/>
      <c r="Q13" s="77"/>
      <c r="S13" s="80"/>
      <c r="T13" s="77"/>
      <c r="AV13" s="77"/>
      <c r="AW13" s="77"/>
    </row>
    <row r="14" spans="1:53" x14ac:dyDescent="0.2">
      <c r="A14" s="79"/>
      <c r="B14" s="70"/>
      <c r="C14" s="71"/>
      <c r="D14" s="72"/>
      <c r="E14" s="73"/>
      <c r="F14" s="74"/>
      <c r="G14" s="74"/>
      <c r="H14" s="74"/>
      <c r="I14" s="72"/>
      <c r="J14" s="72"/>
      <c r="K14" s="72"/>
      <c r="L14" s="74"/>
      <c r="M14" s="74"/>
      <c r="P14" s="77"/>
      <c r="Q14" s="77"/>
      <c r="S14" s="80"/>
      <c r="T14" s="77"/>
      <c r="AV14" s="77"/>
      <c r="AW14" s="77"/>
    </row>
    <row r="15" spans="1:53" x14ac:dyDescent="0.2">
      <c r="A15" s="79"/>
      <c r="B15" s="70"/>
      <c r="C15" s="71"/>
      <c r="D15" s="72"/>
      <c r="E15" s="73"/>
      <c r="F15" s="74"/>
      <c r="G15" s="74"/>
      <c r="H15" s="74"/>
      <c r="I15" s="72"/>
      <c r="J15" s="72"/>
      <c r="K15" s="72"/>
      <c r="L15" s="74"/>
      <c r="M15" s="74"/>
      <c r="P15" s="77"/>
      <c r="Q15" s="77"/>
      <c r="S15" s="80"/>
      <c r="T15" s="77"/>
      <c r="AV15" s="77"/>
      <c r="AW15" s="77"/>
    </row>
    <row r="16" spans="1:53" x14ac:dyDescent="0.2">
      <c r="A16" s="79"/>
      <c r="B16" s="70"/>
      <c r="C16" s="71"/>
      <c r="D16" s="72"/>
      <c r="E16" s="73"/>
      <c r="F16" s="74"/>
      <c r="G16" s="74"/>
      <c r="H16" s="74"/>
      <c r="I16" s="72"/>
      <c r="J16" s="72"/>
      <c r="K16" s="72"/>
      <c r="L16" s="74"/>
      <c r="M16" s="74"/>
      <c r="P16" s="77"/>
      <c r="Q16" s="77"/>
      <c r="S16" s="80"/>
      <c r="T16" s="77"/>
      <c r="AV16" s="77"/>
      <c r="AW16" s="77"/>
    </row>
    <row r="17" spans="1:49" x14ac:dyDescent="0.2">
      <c r="B17" s="70"/>
      <c r="C17" s="71"/>
      <c r="D17" s="72"/>
      <c r="E17" s="73"/>
      <c r="F17" s="74"/>
      <c r="G17" s="74"/>
      <c r="H17" s="74"/>
      <c r="I17" s="72"/>
      <c r="J17" s="72"/>
      <c r="K17" s="72"/>
      <c r="L17" s="74"/>
      <c r="M17" s="74"/>
      <c r="P17" s="77"/>
      <c r="Q17" s="77"/>
      <c r="S17" s="80"/>
      <c r="T17" s="77"/>
      <c r="AV17" s="77"/>
      <c r="AW17" s="77"/>
    </row>
    <row r="18" spans="1:49" x14ac:dyDescent="0.2">
      <c r="A18" s="79"/>
      <c r="B18" s="70"/>
      <c r="C18" s="71"/>
      <c r="D18" s="72"/>
      <c r="E18" s="73"/>
      <c r="F18" s="74"/>
      <c r="G18" s="74"/>
      <c r="H18" s="74"/>
      <c r="I18" s="72"/>
      <c r="J18" s="72"/>
      <c r="K18" s="72"/>
      <c r="L18" s="74"/>
      <c r="M18" s="74"/>
      <c r="P18" s="77"/>
      <c r="Q18" s="77"/>
      <c r="S18" s="80"/>
      <c r="T18" s="77"/>
      <c r="AV18" s="77"/>
      <c r="AW18" s="77"/>
    </row>
    <row r="19" spans="1:49" x14ac:dyDescent="0.2">
      <c r="A19" s="79"/>
      <c r="B19" s="70"/>
      <c r="C19" s="71"/>
      <c r="D19" s="72"/>
      <c r="E19" s="73"/>
      <c r="F19" s="74"/>
      <c r="G19" s="74"/>
      <c r="H19" s="74"/>
      <c r="I19" s="72"/>
      <c r="J19" s="72"/>
      <c r="K19" s="72"/>
      <c r="L19" s="74"/>
      <c r="M19" s="74"/>
      <c r="P19" s="77"/>
      <c r="Q19" s="77"/>
      <c r="S19" s="80"/>
      <c r="T19" s="77"/>
      <c r="AV19" s="77"/>
      <c r="AW19" s="77"/>
    </row>
    <row r="20" spans="1:49" x14ac:dyDescent="0.2">
      <c r="B20" s="70"/>
      <c r="C20" s="71"/>
      <c r="D20" s="72"/>
      <c r="E20" s="73"/>
      <c r="F20" s="74"/>
      <c r="G20" s="74"/>
      <c r="H20" s="74"/>
      <c r="I20" s="72"/>
      <c r="J20" s="72"/>
      <c r="K20" s="72"/>
      <c r="L20" s="74"/>
      <c r="M20" s="74"/>
      <c r="P20" s="77"/>
      <c r="Q20" s="77"/>
      <c r="S20" s="80"/>
      <c r="T20" s="77"/>
      <c r="AV20" s="77"/>
      <c r="AW20" s="77"/>
    </row>
    <row r="21" spans="1:49" x14ac:dyDescent="0.2">
      <c r="A21" s="79"/>
      <c r="B21" s="70"/>
      <c r="C21" s="71"/>
      <c r="D21" s="72"/>
      <c r="E21" s="73"/>
      <c r="F21" s="74"/>
      <c r="G21" s="74"/>
      <c r="H21" s="74"/>
      <c r="I21" s="72"/>
      <c r="J21" s="72"/>
      <c r="K21" s="72"/>
      <c r="L21" s="74"/>
      <c r="M21" s="74"/>
      <c r="P21" s="77"/>
      <c r="Q21" s="77"/>
      <c r="S21" s="80"/>
      <c r="T21" s="77"/>
      <c r="AV21" s="77"/>
      <c r="AW21" s="77"/>
    </row>
    <row r="22" spans="1:49" x14ac:dyDescent="0.2">
      <c r="B22" s="70"/>
      <c r="C22" s="71"/>
      <c r="D22" s="72"/>
      <c r="E22" s="73"/>
      <c r="F22" s="74"/>
      <c r="G22" s="74"/>
      <c r="H22" s="74"/>
      <c r="I22" s="72"/>
      <c r="J22" s="72"/>
      <c r="K22" s="72"/>
      <c r="L22" s="74"/>
      <c r="M22" s="74"/>
      <c r="P22" s="77"/>
      <c r="Q22" s="77"/>
      <c r="S22" s="80"/>
      <c r="T22" s="77"/>
      <c r="AV22" s="77"/>
      <c r="AW22" s="77"/>
    </row>
    <row r="23" spans="1:49" x14ac:dyDescent="0.2">
      <c r="B23" s="70"/>
      <c r="C23" s="71"/>
      <c r="D23" s="72"/>
      <c r="E23" s="73"/>
      <c r="F23" s="74"/>
      <c r="G23" s="74"/>
      <c r="H23" s="74"/>
      <c r="I23" s="72"/>
      <c r="J23" s="72"/>
      <c r="K23" s="72"/>
      <c r="L23" s="74"/>
      <c r="M23" s="74"/>
      <c r="P23" s="77"/>
      <c r="Q23" s="77"/>
      <c r="S23" s="80"/>
      <c r="T23" s="77"/>
      <c r="AV23" s="77"/>
      <c r="AW23" s="77"/>
    </row>
    <row r="24" spans="1:49" x14ac:dyDescent="0.2">
      <c r="B24" s="70"/>
      <c r="C24" s="71"/>
      <c r="D24" s="72"/>
      <c r="E24" s="73"/>
      <c r="F24" s="74"/>
      <c r="G24" s="74"/>
      <c r="H24" s="74"/>
      <c r="I24" s="72"/>
      <c r="J24" s="72"/>
      <c r="K24" s="72"/>
      <c r="L24" s="74"/>
      <c r="M24" s="74"/>
      <c r="P24" s="77"/>
      <c r="Q24" s="77"/>
      <c r="S24" s="80"/>
      <c r="T24" s="77"/>
      <c r="AV24" s="77"/>
      <c r="AW24" s="77"/>
    </row>
    <row r="25" spans="1:49" x14ac:dyDescent="0.2">
      <c r="B25" s="70"/>
      <c r="C25" s="71"/>
      <c r="D25" s="72"/>
      <c r="E25" s="73"/>
      <c r="F25" s="74"/>
      <c r="G25" s="74"/>
      <c r="H25" s="74"/>
      <c r="I25" s="72"/>
      <c r="J25" s="72"/>
      <c r="K25" s="72"/>
      <c r="L25" s="74"/>
      <c r="M25" s="74"/>
      <c r="P25" s="77"/>
      <c r="Q25" s="77"/>
      <c r="S25" s="80"/>
      <c r="T25" s="77"/>
      <c r="AV25" s="77"/>
      <c r="AW25" s="77"/>
    </row>
    <row r="26" spans="1:49" x14ac:dyDescent="0.2">
      <c r="B26" s="70"/>
      <c r="C26" s="71"/>
      <c r="D26" s="72"/>
      <c r="E26" s="73"/>
      <c r="F26" s="74"/>
      <c r="G26" s="74"/>
      <c r="H26" s="74"/>
      <c r="I26" s="72"/>
      <c r="J26" s="72"/>
      <c r="K26" s="72"/>
      <c r="L26" s="74"/>
      <c r="M26" s="74"/>
      <c r="P26" s="77"/>
      <c r="Q26" s="77"/>
      <c r="S26" s="80"/>
      <c r="T26" s="77"/>
      <c r="AV26" s="77"/>
      <c r="AW26" s="77"/>
    </row>
    <row r="27" spans="1:49" x14ac:dyDescent="0.2">
      <c r="B27" s="70"/>
      <c r="C27" s="71"/>
      <c r="D27" s="72"/>
      <c r="E27" s="73"/>
      <c r="F27" s="74"/>
      <c r="G27" s="74"/>
      <c r="H27" s="74"/>
      <c r="I27" s="72"/>
      <c r="J27" s="72"/>
      <c r="K27" s="72"/>
      <c r="L27" s="74"/>
      <c r="M27" s="74"/>
      <c r="P27" s="77"/>
      <c r="Q27" s="77"/>
      <c r="S27" s="80"/>
      <c r="T27" s="77"/>
      <c r="AV27" s="77"/>
      <c r="AW27" s="77"/>
    </row>
    <row r="28" spans="1:49" x14ac:dyDescent="0.2">
      <c r="A28" s="79"/>
      <c r="B28" s="70"/>
      <c r="C28" s="71"/>
      <c r="D28" s="72"/>
      <c r="E28" s="73"/>
      <c r="F28" s="74"/>
      <c r="G28" s="74"/>
      <c r="H28" s="74"/>
      <c r="I28" s="72"/>
      <c r="J28" s="72"/>
      <c r="K28" s="72"/>
      <c r="L28" s="74"/>
      <c r="M28" s="74"/>
      <c r="P28" s="77"/>
      <c r="Q28" s="77"/>
      <c r="S28" s="80"/>
      <c r="T28" s="77"/>
      <c r="AV28" s="77"/>
      <c r="AW28" s="77"/>
    </row>
    <row r="29" spans="1:49" x14ac:dyDescent="0.2">
      <c r="B29" s="70"/>
      <c r="C29" s="71"/>
      <c r="D29" s="72"/>
      <c r="E29" s="73"/>
      <c r="F29" s="74"/>
      <c r="G29" s="74"/>
      <c r="H29" s="74"/>
      <c r="I29" s="72"/>
      <c r="J29" s="72"/>
      <c r="K29" s="72"/>
      <c r="L29" s="74"/>
      <c r="M29" s="74"/>
      <c r="P29" s="77"/>
      <c r="Q29" s="77"/>
      <c r="S29" s="80"/>
      <c r="T29" s="77"/>
      <c r="AV29" s="77"/>
      <c r="AW29" s="77"/>
    </row>
    <row r="30" spans="1:49" x14ac:dyDescent="0.2">
      <c r="B30" s="70"/>
      <c r="C30" s="71"/>
      <c r="D30" s="72"/>
      <c r="E30" s="73"/>
      <c r="F30" s="74"/>
      <c r="G30" s="74"/>
      <c r="H30" s="74"/>
      <c r="I30" s="72"/>
      <c r="J30" s="72"/>
      <c r="K30" s="72"/>
      <c r="L30" s="74"/>
      <c r="M30" s="74"/>
      <c r="P30" s="77"/>
      <c r="Q30" s="77"/>
      <c r="S30" s="80"/>
      <c r="T30" s="77"/>
      <c r="AV30" s="77"/>
      <c r="AW30" s="77"/>
    </row>
    <row r="31" spans="1:49" x14ac:dyDescent="0.2">
      <c r="B31" s="70"/>
      <c r="C31" s="71"/>
      <c r="D31" s="72"/>
      <c r="E31" s="73"/>
      <c r="F31" s="74"/>
      <c r="G31" s="74"/>
      <c r="H31" s="74"/>
      <c r="I31" s="72"/>
      <c r="J31" s="72"/>
      <c r="K31" s="72"/>
      <c r="L31" s="74"/>
      <c r="M31" s="74"/>
      <c r="P31" s="77"/>
      <c r="Q31" s="77"/>
      <c r="S31" s="80"/>
      <c r="T31" s="77"/>
      <c r="AV31" s="77"/>
      <c r="AW31" s="77"/>
    </row>
    <row r="32" spans="1:49" x14ac:dyDescent="0.2">
      <c r="B32" s="70"/>
      <c r="C32" s="71"/>
      <c r="D32" s="72"/>
      <c r="E32" s="73"/>
      <c r="F32" s="74"/>
      <c r="G32" s="74"/>
      <c r="H32" s="74"/>
      <c r="I32" s="72"/>
      <c r="J32" s="72"/>
      <c r="K32" s="72"/>
      <c r="L32" s="74"/>
      <c r="M32" s="74"/>
      <c r="P32" s="77"/>
      <c r="Q32" s="77"/>
      <c r="S32" s="80"/>
      <c r="T32" s="77"/>
      <c r="AV32" s="77"/>
      <c r="AW32" s="77"/>
    </row>
    <row r="33" spans="1:49" x14ac:dyDescent="0.2">
      <c r="B33" s="70"/>
      <c r="C33" s="71"/>
      <c r="D33" s="72"/>
      <c r="E33" s="73"/>
      <c r="F33" s="74"/>
      <c r="G33" s="74"/>
      <c r="H33" s="74"/>
      <c r="I33" s="72"/>
      <c r="J33" s="72"/>
      <c r="K33" s="72"/>
      <c r="L33" s="74"/>
      <c r="M33" s="74"/>
      <c r="P33" s="77"/>
      <c r="Q33" s="77"/>
      <c r="S33" s="80"/>
      <c r="T33" s="77"/>
      <c r="AV33" s="77"/>
      <c r="AW33" s="77"/>
    </row>
    <row r="34" spans="1:49" x14ac:dyDescent="0.2">
      <c r="B34" s="70"/>
      <c r="C34" s="71"/>
      <c r="D34" s="72"/>
      <c r="E34" s="73"/>
      <c r="F34" s="74"/>
      <c r="G34" s="74"/>
      <c r="H34" s="74"/>
      <c r="I34" s="72"/>
      <c r="J34" s="72"/>
      <c r="K34" s="72"/>
      <c r="L34" s="74"/>
      <c r="M34" s="74"/>
      <c r="P34" s="77"/>
      <c r="Q34" s="77"/>
      <c r="S34" s="80"/>
      <c r="T34" s="77"/>
      <c r="AV34" s="77"/>
      <c r="AW34" s="77"/>
    </row>
    <row r="35" spans="1:49" x14ac:dyDescent="0.2">
      <c r="B35" s="70"/>
      <c r="C35" s="71"/>
      <c r="D35" s="72"/>
      <c r="E35" s="73"/>
      <c r="F35" s="74"/>
      <c r="G35" s="74"/>
      <c r="H35" s="74"/>
      <c r="I35" s="72"/>
      <c r="J35" s="72"/>
      <c r="K35" s="72"/>
      <c r="L35" s="74"/>
      <c r="M35" s="74"/>
      <c r="P35" s="77"/>
      <c r="Q35" s="77"/>
      <c r="S35" s="80"/>
      <c r="T35" s="77"/>
      <c r="AV35" s="77"/>
      <c r="AW35" s="77"/>
    </row>
    <row r="36" spans="1:49" x14ac:dyDescent="0.2">
      <c r="B36" s="70"/>
      <c r="C36" s="71"/>
      <c r="D36" s="72"/>
      <c r="E36" s="73"/>
      <c r="F36" s="74"/>
      <c r="G36" s="74"/>
      <c r="H36" s="74"/>
      <c r="I36" s="72"/>
      <c r="J36" s="72"/>
      <c r="K36" s="72"/>
      <c r="L36" s="74"/>
      <c r="M36" s="74"/>
      <c r="P36" s="77"/>
      <c r="Q36" s="77"/>
      <c r="S36" s="80"/>
      <c r="T36" s="77"/>
      <c r="AV36" s="77"/>
      <c r="AW36" s="77"/>
    </row>
    <row r="37" spans="1:49" x14ac:dyDescent="0.2">
      <c r="B37" s="70"/>
      <c r="C37" s="71"/>
      <c r="D37" s="72"/>
      <c r="E37" s="73"/>
      <c r="F37" s="74"/>
      <c r="G37" s="74"/>
      <c r="H37" s="74"/>
      <c r="I37" s="72"/>
      <c r="J37" s="72"/>
      <c r="K37" s="72"/>
      <c r="L37" s="74"/>
      <c r="M37" s="74"/>
      <c r="P37" s="77"/>
      <c r="Q37" s="77"/>
      <c r="S37" s="80"/>
      <c r="T37" s="77"/>
      <c r="AV37" s="77"/>
      <c r="AW37" s="77"/>
    </row>
    <row r="38" spans="1:49" x14ac:dyDescent="0.2">
      <c r="B38" s="70"/>
      <c r="C38" s="71"/>
      <c r="D38" s="72"/>
      <c r="E38" s="73"/>
      <c r="F38" s="74"/>
      <c r="G38" s="74"/>
      <c r="H38" s="74"/>
      <c r="I38" s="72"/>
      <c r="J38" s="72"/>
      <c r="K38" s="72"/>
      <c r="L38" s="74"/>
      <c r="M38" s="74"/>
      <c r="P38" s="77"/>
      <c r="Q38" s="77"/>
      <c r="S38" s="80"/>
      <c r="T38" s="77"/>
      <c r="AV38" s="77"/>
      <c r="AW38" s="77"/>
    </row>
    <row r="39" spans="1:49" x14ac:dyDescent="0.2">
      <c r="B39" s="70"/>
      <c r="C39" s="71"/>
      <c r="D39" s="72"/>
      <c r="E39" s="73"/>
      <c r="F39" s="74"/>
      <c r="G39" s="74"/>
      <c r="H39" s="74"/>
      <c r="I39" s="72"/>
      <c r="J39" s="72"/>
      <c r="K39" s="72"/>
      <c r="L39" s="74"/>
      <c r="M39" s="74"/>
      <c r="P39" s="77"/>
      <c r="Q39" s="77"/>
      <c r="S39" s="80"/>
      <c r="T39" s="77"/>
      <c r="AV39" s="77"/>
      <c r="AW39" s="77"/>
    </row>
    <row r="40" spans="1:49" x14ac:dyDescent="0.2">
      <c r="B40" s="70"/>
      <c r="C40" s="71"/>
      <c r="D40" s="72"/>
      <c r="E40" s="73"/>
      <c r="F40" s="74"/>
      <c r="G40" s="74"/>
      <c r="H40" s="74"/>
      <c r="I40" s="72"/>
      <c r="J40" s="72"/>
      <c r="K40" s="72"/>
      <c r="L40" s="74"/>
      <c r="M40" s="74"/>
      <c r="P40" s="77"/>
      <c r="Q40" s="77"/>
      <c r="S40" s="80"/>
      <c r="T40" s="77"/>
      <c r="AV40" s="77"/>
      <c r="AW40" s="77"/>
    </row>
    <row r="41" spans="1:49" x14ac:dyDescent="0.2">
      <c r="B41" s="70"/>
      <c r="C41" s="71"/>
      <c r="D41" s="72"/>
      <c r="E41" s="73"/>
      <c r="F41" s="74"/>
      <c r="G41" s="74"/>
      <c r="H41" s="74"/>
      <c r="I41" s="72"/>
      <c r="J41" s="72"/>
      <c r="K41" s="72"/>
      <c r="L41" s="74"/>
      <c r="M41" s="74"/>
      <c r="P41" s="77"/>
      <c r="Q41" s="77"/>
      <c r="S41" s="80"/>
      <c r="T41" s="77"/>
      <c r="AV41" s="77"/>
      <c r="AW41" s="77"/>
    </row>
    <row r="42" spans="1:49" x14ac:dyDescent="0.2">
      <c r="B42" s="70"/>
      <c r="C42" s="71"/>
      <c r="D42" s="72"/>
      <c r="E42" s="73"/>
      <c r="F42" s="74"/>
      <c r="G42" s="74"/>
      <c r="H42" s="74"/>
      <c r="I42" s="72"/>
      <c r="J42" s="72"/>
      <c r="K42" s="72"/>
      <c r="L42" s="74"/>
      <c r="M42" s="74"/>
      <c r="P42" s="77"/>
      <c r="Q42" s="77"/>
      <c r="S42" s="80"/>
      <c r="T42" s="77"/>
      <c r="AV42" s="77"/>
      <c r="AW42" s="77"/>
    </row>
    <row r="43" spans="1:49" x14ac:dyDescent="0.2">
      <c r="B43" s="70"/>
      <c r="C43" s="71"/>
      <c r="D43" s="72"/>
      <c r="E43" s="73"/>
      <c r="F43" s="74"/>
      <c r="G43" s="74"/>
      <c r="H43" s="74"/>
      <c r="I43" s="72"/>
      <c r="J43" s="72"/>
      <c r="K43" s="72"/>
      <c r="L43" s="74"/>
      <c r="M43" s="74"/>
      <c r="P43" s="77"/>
      <c r="Q43" s="77"/>
      <c r="S43" s="80"/>
      <c r="T43" s="77"/>
      <c r="AV43" s="77"/>
      <c r="AW43" s="77"/>
    </row>
    <row r="44" spans="1:49" x14ac:dyDescent="0.2">
      <c r="A44" s="79"/>
      <c r="B44" s="70"/>
      <c r="C44" s="71"/>
      <c r="D44" s="72"/>
      <c r="E44" s="73"/>
      <c r="F44" s="74"/>
      <c r="G44" s="74"/>
      <c r="H44" s="74"/>
      <c r="I44" s="72"/>
      <c r="J44" s="72"/>
      <c r="K44" s="72"/>
      <c r="L44" s="74"/>
      <c r="M44" s="74"/>
      <c r="P44" s="77"/>
      <c r="Q44" s="77"/>
      <c r="S44" s="80"/>
      <c r="T44" s="77"/>
      <c r="AV44" s="77"/>
      <c r="AW44" s="77"/>
    </row>
    <row r="45" spans="1:49" x14ac:dyDescent="0.2">
      <c r="B45" s="70"/>
      <c r="C45" s="71"/>
      <c r="D45" s="72"/>
      <c r="E45" s="73"/>
      <c r="F45" s="74"/>
      <c r="G45" s="74"/>
      <c r="H45" s="74"/>
      <c r="I45" s="72"/>
      <c r="J45" s="72"/>
      <c r="K45" s="72"/>
      <c r="L45" s="74"/>
      <c r="M45" s="74"/>
      <c r="P45" s="77"/>
      <c r="Q45" s="77"/>
      <c r="S45" s="80"/>
      <c r="T45" s="77"/>
      <c r="AV45" s="77"/>
      <c r="AW45" s="77"/>
    </row>
    <row r="46" spans="1:49" x14ac:dyDescent="0.2">
      <c r="B46" s="70"/>
      <c r="C46" s="71"/>
      <c r="D46" s="72"/>
      <c r="E46" s="73"/>
      <c r="F46" s="74"/>
      <c r="G46" s="74"/>
      <c r="H46" s="74"/>
      <c r="I46" s="72"/>
      <c r="J46" s="72"/>
      <c r="K46" s="72"/>
      <c r="L46" s="74"/>
      <c r="M46" s="74"/>
      <c r="P46" s="77"/>
      <c r="Q46" s="77"/>
      <c r="S46" s="80"/>
      <c r="T46" s="77"/>
      <c r="AV46" s="77"/>
      <c r="AW46" s="77"/>
    </row>
    <row r="47" spans="1:49" x14ac:dyDescent="0.2">
      <c r="B47" s="70"/>
      <c r="C47" s="71"/>
      <c r="D47" s="72"/>
      <c r="E47" s="73"/>
      <c r="F47" s="74"/>
      <c r="G47" s="74"/>
      <c r="H47" s="74"/>
      <c r="I47" s="72"/>
      <c r="J47" s="72"/>
      <c r="K47" s="72"/>
      <c r="L47" s="74"/>
      <c r="M47" s="74"/>
      <c r="P47" s="77"/>
      <c r="Q47" s="77"/>
      <c r="S47" s="80"/>
      <c r="T47" s="77"/>
      <c r="AV47" s="77"/>
      <c r="AW47" s="77"/>
    </row>
    <row r="48" spans="1:49" x14ac:dyDescent="0.2">
      <c r="B48" s="70"/>
      <c r="C48" s="71"/>
      <c r="D48" s="72"/>
      <c r="E48" s="73"/>
      <c r="F48" s="74"/>
      <c r="G48" s="74"/>
      <c r="H48" s="74"/>
      <c r="I48" s="72"/>
      <c r="J48" s="72"/>
      <c r="K48" s="72"/>
      <c r="L48" s="74"/>
      <c r="M48" s="74"/>
      <c r="P48" s="77"/>
      <c r="Q48" s="77"/>
      <c r="S48" s="80"/>
      <c r="T48" s="77"/>
      <c r="AV48" s="77"/>
      <c r="AW48" s="77"/>
    </row>
    <row r="49" spans="1:49" x14ac:dyDescent="0.2">
      <c r="B49" s="70"/>
      <c r="C49" s="71"/>
      <c r="D49" s="72"/>
      <c r="E49" s="73"/>
      <c r="F49" s="74"/>
      <c r="G49" s="74"/>
      <c r="H49" s="74"/>
      <c r="I49" s="72"/>
      <c r="J49" s="72"/>
      <c r="K49" s="72"/>
      <c r="L49" s="74"/>
      <c r="M49" s="74"/>
      <c r="P49" s="77"/>
      <c r="Q49" s="77"/>
      <c r="S49" s="80"/>
      <c r="T49" s="77"/>
      <c r="AV49" s="77"/>
      <c r="AW49" s="77"/>
    </row>
    <row r="50" spans="1:49" x14ac:dyDescent="0.2">
      <c r="A50" s="79"/>
      <c r="B50" s="70"/>
      <c r="C50" s="71"/>
      <c r="D50" s="72"/>
      <c r="E50" s="73"/>
      <c r="F50" s="74"/>
      <c r="G50" s="74"/>
      <c r="H50" s="74"/>
      <c r="I50" s="72"/>
      <c r="J50" s="72"/>
      <c r="K50" s="72"/>
      <c r="L50" s="74"/>
      <c r="M50" s="74"/>
      <c r="P50" s="77"/>
      <c r="Q50" s="77"/>
      <c r="S50" s="80"/>
      <c r="T50" s="77"/>
      <c r="AV50" s="77"/>
      <c r="AW50" s="77"/>
    </row>
    <row r="51" spans="1:49" x14ac:dyDescent="0.2">
      <c r="B51" s="70"/>
      <c r="C51" s="71"/>
      <c r="D51" s="72"/>
      <c r="E51" s="73"/>
      <c r="F51" s="74"/>
      <c r="G51" s="74"/>
      <c r="H51" s="74"/>
      <c r="I51" s="72"/>
      <c r="J51" s="72"/>
      <c r="K51" s="72"/>
      <c r="L51" s="74"/>
      <c r="M51" s="74"/>
      <c r="P51" s="77"/>
      <c r="Q51" s="77"/>
      <c r="S51" s="80"/>
      <c r="T51" s="77"/>
      <c r="AV51" s="77"/>
      <c r="AW51" s="77"/>
    </row>
    <row r="52" spans="1:49" x14ac:dyDescent="0.2">
      <c r="B52" s="70"/>
      <c r="C52" s="71"/>
      <c r="D52" s="72"/>
      <c r="E52" s="73"/>
      <c r="F52" s="74"/>
      <c r="G52" s="74"/>
      <c r="H52" s="74"/>
      <c r="I52" s="72"/>
      <c r="J52" s="72"/>
      <c r="K52" s="72"/>
      <c r="L52" s="74"/>
      <c r="M52" s="74"/>
      <c r="P52" s="77"/>
      <c r="Q52" s="77"/>
      <c r="S52" s="80"/>
      <c r="T52" s="77"/>
      <c r="AV52" s="77"/>
      <c r="AW52" s="77"/>
    </row>
    <row r="53" spans="1:49" x14ac:dyDescent="0.2">
      <c r="B53" s="70"/>
      <c r="C53" s="71"/>
      <c r="D53" s="72"/>
      <c r="E53" s="73"/>
      <c r="F53" s="74"/>
      <c r="G53" s="74"/>
      <c r="H53" s="74"/>
      <c r="I53" s="72"/>
      <c r="J53" s="72"/>
      <c r="K53" s="72"/>
      <c r="L53" s="74"/>
      <c r="M53" s="74"/>
      <c r="P53" s="77"/>
      <c r="Q53" s="77"/>
      <c r="S53" s="80"/>
      <c r="T53" s="77"/>
      <c r="AV53" s="77"/>
      <c r="AW53" s="77"/>
    </row>
    <row r="54" spans="1:49" x14ac:dyDescent="0.2">
      <c r="B54" s="70"/>
      <c r="C54" s="71"/>
      <c r="D54" s="72"/>
      <c r="E54" s="73"/>
      <c r="F54" s="74"/>
      <c r="G54" s="74"/>
      <c r="H54" s="74"/>
      <c r="I54" s="72"/>
      <c r="J54" s="72"/>
      <c r="K54" s="72"/>
      <c r="L54" s="74"/>
      <c r="M54" s="74"/>
      <c r="P54" s="77"/>
      <c r="Q54" s="77"/>
      <c r="S54" s="80"/>
      <c r="T54" s="77"/>
      <c r="AV54" s="77"/>
      <c r="AW54" s="77"/>
    </row>
    <row r="55" spans="1:49" x14ac:dyDescent="0.2">
      <c r="B55" s="70"/>
      <c r="C55" s="71"/>
      <c r="D55" s="72"/>
      <c r="E55" s="73"/>
      <c r="F55" s="74"/>
      <c r="G55" s="74"/>
      <c r="H55" s="74"/>
      <c r="I55" s="72"/>
      <c r="J55" s="72"/>
      <c r="K55" s="72"/>
      <c r="L55" s="74"/>
      <c r="M55" s="74"/>
      <c r="P55" s="77"/>
      <c r="Q55" s="77"/>
      <c r="S55" s="80"/>
      <c r="T55" s="77"/>
      <c r="AV55" s="77"/>
      <c r="AW55" s="77"/>
    </row>
    <row r="56" spans="1:49" x14ac:dyDescent="0.2">
      <c r="B56" s="70"/>
      <c r="C56" s="71"/>
      <c r="D56" s="72"/>
      <c r="E56" s="73"/>
      <c r="F56" s="74"/>
      <c r="G56" s="74"/>
      <c r="H56" s="74"/>
      <c r="I56" s="72"/>
      <c r="J56" s="72"/>
      <c r="K56" s="72"/>
      <c r="L56" s="74"/>
      <c r="M56" s="74"/>
      <c r="P56" s="77"/>
      <c r="Q56" s="77"/>
      <c r="S56" s="80"/>
      <c r="T56" s="77"/>
      <c r="AV56" s="77"/>
      <c r="AW56" s="77"/>
    </row>
    <row r="57" spans="1:49" x14ac:dyDescent="0.2">
      <c r="B57" s="70"/>
      <c r="C57" s="71"/>
      <c r="D57" s="72"/>
      <c r="E57" s="73"/>
      <c r="F57" s="74"/>
      <c r="G57" s="74"/>
      <c r="H57" s="74"/>
      <c r="I57" s="72"/>
      <c r="J57" s="72"/>
      <c r="K57" s="72"/>
      <c r="L57" s="74"/>
      <c r="M57" s="74"/>
      <c r="P57" s="77"/>
      <c r="Q57" s="77"/>
      <c r="S57" s="80"/>
      <c r="T57" s="77"/>
      <c r="AV57" s="77"/>
      <c r="AW57" s="77"/>
    </row>
    <row r="58" spans="1:49" x14ac:dyDescent="0.2">
      <c r="B58" s="70"/>
      <c r="C58" s="71"/>
      <c r="D58" s="72"/>
      <c r="E58" s="73"/>
      <c r="F58" s="74"/>
      <c r="G58" s="74"/>
      <c r="H58" s="74"/>
      <c r="I58" s="72"/>
      <c r="J58" s="72"/>
      <c r="K58" s="72"/>
      <c r="L58" s="74"/>
      <c r="M58" s="74"/>
      <c r="P58" s="77"/>
      <c r="Q58" s="77"/>
      <c r="S58" s="80"/>
      <c r="T58" s="77"/>
      <c r="AV58" s="77"/>
      <c r="AW58" s="77"/>
    </row>
    <row r="59" spans="1:49" x14ac:dyDescent="0.2">
      <c r="B59" s="70"/>
      <c r="C59" s="71"/>
      <c r="D59" s="72"/>
      <c r="E59" s="73"/>
      <c r="F59" s="74"/>
      <c r="G59" s="74"/>
      <c r="H59" s="74"/>
      <c r="I59" s="72"/>
      <c r="J59" s="72"/>
      <c r="K59" s="72"/>
      <c r="L59" s="74"/>
      <c r="M59" s="74"/>
      <c r="P59" s="77"/>
      <c r="Q59" s="77"/>
      <c r="S59" s="80"/>
      <c r="T59" s="77"/>
      <c r="AV59" s="77"/>
      <c r="AW59" s="77"/>
    </row>
    <row r="60" spans="1:49" x14ac:dyDescent="0.2">
      <c r="B60" s="70"/>
      <c r="C60" s="71"/>
      <c r="D60" s="72"/>
      <c r="E60" s="73"/>
      <c r="F60" s="74"/>
      <c r="G60" s="74"/>
      <c r="H60" s="74"/>
      <c r="I60" s="72"/>
      <c r="J60" s="72"/>
      <c r="K60" s="72"/>
      <c r="L60" s="74"/>
      <c r="M60" s="74"/>
      <c r="P60" s="77"/>
      <c r="Q60" s="77"/>
      <c r="S60" s="80"/>
      <c r="T60" s="77"/>
      <c r="AV60" s="77"/>
      <c r="AW60" s="77"/>
    </row>
    <row r="61" spans="1:49" x14ac:dyDescent="0.2">
      <c r="B61" s="70"/>
      <c r="C61" s="71"/>
      <c r="D61" s="72"/>
      <c r="E61" s="73"/>
      <c r="F61" s="74"/>
      <c r="G61" s="74"/>
      <c r="H61" s="74"/>
      <c r="I61" s="72"/>
      <c r="J61" s="72"/>
      <c r="K61" s="72"/>
      <c r="L61" s="74"/>
      <c r="M61" s="74"/>
      <c r="P61" s="77"/>
      <c r="Q61" s="77"/>
      <c r="S61" s="80"/>
      <c r="T61" s="77"/>
      <c r="AV61" s="77"/>
      <c r="AW61" s="77"/>
    </row>
    <row r="62" spans="1:49" x14ac:dyDescent="0.2">
      <c r="B62" s="70"/>
      <c r="C62" s="71"/>
      <c r="D62" s="72"/>
      <c r="E62" s="73"/>
      <c r="F62" s="74"/>
      <c r="G62" s="74"/>
      <c r="H62" s="74"/>
      <c r="I62" s="72"/>
      <c r="J62" s="72"/>
      <c r="K62" s="72"/>
      <c r="L62" s="74"/>
      <c r="M62" s="74"/>
      <c r="P62" s="77"/>
      <c r="Q62" s="77"/>
      <c r="S62" s="80"/>
      <c r="T62" s="77"/>
      <c r="AV62" s="77"/>
      <c r="AW62" s="77"/>
    </row>
    <row r="63" spans="1:49" x14ac:dyDescent="0.2">
      <c r="B63" s="70"/>
      <c r="C63" s="71"/>
      <c r="D63" s="72"/>
      <c r="E63" s="73"/>
      <c r="F63" s="74"/>
      <c r="G63" s="74"/>
      <c r="H63" s="74"/>
      <c r="I63" s="72"/>
      <c r="J63" s="72"/>
      <c r="K63" s="72"/>
      <c r="L63" s="74"/>
      <c r="M63" s="74"/>
      <c r="P63" s="77"/>
      <c r="Q63" s="77"/>
      <c r="S63" s="80"/>
      <c r="T63" s="77"/>
      <c r="AV63" s="77"/>
      <c r="AW63" s="77"/>
    </row>
    <row r="64" spans="1:49" x14ac:dyDescent="0.2">
      <c r="B64" s="70"/>
      <c r="C64" s="71"/>
      <c r="D64" s="72"/>
      <c r="E64" s="73"/>
      <c r="F64" s="74"/>
      <c r="G64" s="74"/>
      <c r="H64" s="74"/>
      <c r="I64" s="72"/>
      <c r="J64" s="72"/>
      <c r="K64" s="72"/>
      <c r="L64" s="74"/>
      <c r="M64" s="74"/>
      <c r="P64" s="77"/>
      <c r="Q64" s="77"/>
      <c r="S64" s="80"/>
      <c r="T64" s="77"/>
      <c r="AV64" s="77"/>
      <c r="AW64" s="77"/>
    </row>
    <row r="65" spans="2:49" x14ac:dyDescent="0.2">
      <c r="B65" s="70"/>
      <c r="C65" s="71"/>
      <c r="D65" s="72"/>
      <c r="E65" s="73"/>
      <c r="F65" s="74"/>
      <c r="G65" s="74"/>
      <c r="H65" s="74"/>
      <c r="I65" s="72"/>
      <c r="J65" s="72"/>
      <c r="K65" s="72"/>
      <c r="L65" s="74"/>
      <c r="M65" s="74"/>
      <c r="P65" s="77"/>
      <c r="Q65" s="77"/>
      <c r="S65" s="80"/>
      <c r="T65" s="77"/>
      <c r="AV65" s="77"/>
      <c r="AW65" s="77"/>
    </row>
    <row r="66" spans="2:49" x14ac:dyDescent="0.2">
      <c r="B66" s="70"/>
      <c r="C66" s="71"/>
      <c r="D66" s="72"/>
      <c r="E66" s="73"/>
      <c r="F66" s="74"/>
      <c r="G66" s="74"/>
      <c r="H66" s="74"/>
      <c r="I66" s="72"/>
      <c r="J66" s="72"/>
      <c r="K66" s="72"/>
      <c r="L66" s="74"/>
      <c r="M66" s="74"/>
      <c r="P66" s="77"/>
      <c r="Q66" s="77"/>
      <c r="S66" s="80"/>
      <c r="T66" s="77"/>
      <c r="AV66" s="77"/>
      <c r="AW66" s="77"/>
    </row>
    <row r="67" spans="2:49" x14ac:dyDescent="0.2">
      <c r="B67" s="70"/>
      <c r="C67" s="71"/>
      <c r="D67" s="72"/>
      <c r="E67" s="73"/>
      <c r="F67" s="74"/>
      <c r="G67" s="74"/>
      <c r="H67" s="74"/>
      <c r="I67" s="72"/>
      <c r="J67" s="72"/>
      <c r="K67" s="72"/>
      <c r="L67" s="74"/>
      <c r="M67" s="74"/>
      <c r="P67" s="77"/>
      <c r="Q67" s="77"/>
      <c r="S67" s="80"/>
      <c r="T67" s="77"/>
      <c r="AV67" s="77"/>
      <c r="AW67" s="77"/>
    </row>
    <row r="68" spans="2:49" x14ac:dyDescent="0.2">
      <c r="B68" s="70"/>
      <c r="C68" s="71"/>
      <c r="D68" s="72"/>
      <c r="E68" s="73"/>
      <c r="F68" s="74"/>
      <c r="G68" s="74"/>
      <c r="H68" s="74"/>
      <c r="I68" s="72"/>
      <c r="J68" s="72"/>
      <c r="K68" s="72"/>
      <c r="L68" s="74"/>
      <c r="M68" s="74"/>
      <c r="P68" s="77"/>
      <c r="Q68" s="77"/>
      <c r="S68" s="80"/>
      <c r="T68" s="77"/>
      <c r="AV68" s="77"/>
      <c r="AW68" s="77"/>
    </row>
    <row r="69" spans="2:49" x14ac:dyDescent="0.2">
      <c r="B69" s="70"/>
      <c r="C69" s="71"/>
      <c r="D69" s="72"/>
      <c r="E69" s="73"/>
      <c r="F69" s="74"/>
      <c r="G69" s="74"/>
      <c r="H69" s="74"/>
      <c r="I69" s="72"/>
      <c r="J69" s="72"/>
      <c r="K69" s="72"/>
      <c r="L69" s="74"/>
      <c r="M69" s="74"/>
      <c r="P69" s="77"/>
      <c r="Q69" s="77"/>
      <c r="S69" s="80"/>
      <c r="T69" s="77"/>
      <c r="AV69" s="77"/>
      <c r="AW69" s="77"/>
    </row>
    <row r="70" spans="2:49" x14ac:dyDescent="0.2">
      <c r="B70" s="70"/>
      <c r="C70" s="71"/>
      <c r="D70" s="72"/>
      <c r="E70" s="73"/>
      <c r="F70" s="74"/>
      <c r="G70" s="74"/>
      <c r="H70" s="74"/>
      <c r="I70" s="72"/>
      <c r="J70" s="72"/>
      <c r="K70" s="72"/>
      <c r="L70" s="74"/>
      <c r="M70" s="74"/>
      <c r="P70" s="77"/>
      <c r="Q70" s="77"/>
      <c r="S70" s="80"/>
      <c r="T70" s="77"/>
      <c r="AV70" s="77"/>
      <c r="AW70" s="77"/>
    </row>
    <row r="71" spans="2:49" x14ac:dyDescent="0.2">
      <c r="B71" s="70"/>
      <c r="C71" s="71"/>
      <c r="D71" s="72"/>
      <c r="E71" s="73"/>
      <c r="F71" s="74"/>
      <c r="G71" s="74"/>
      <c r="H71" s="74"/>
      <c r="I71" s="72"/>
      <c r="J71" s="72"/>
      <c r="K71" s="72"/>
      <c r="L71" s="74"/>
      <c r="M71" s="74"/>
      <c r="P71" s="77"/>
      <c r="Q71" s="77"/>
      <c r="S71" s="80"/>
      <c r="T71" s="77"/>
      <c r="AV71" s="77"/>
      <c r="AW71" s="77"/>
    </row>
    <row r="72" spans="2:49" x14ac:dyDescent="0.2">
      <c r="B72" s="70"/>
      <c r="C72" s="71"/>
      <c r="D72" s="72"/>
      <c r="E72" s="73"/>
      <c r="F72" s="74"/>
      <c r="G72" s="74"/>
      <c r="H72" s="74"/>
      <c r="I72" s="72"/>
      <c r="J72" s="72"/>
      <c r="K72" s="72"/>
      <c r="L72" s="74"/>
      <c r="M72" s="74"/>
      <c r="P72" s="77"/>
      <c r="Q72" s="77"/>
      <c r="S72" s="80"/>
      <c r="T72" s="77"/>
      <c r="AV72" s="77"/>
      <c r="AW72" s="77"/>
    </row>
    <row r="73" spans="2:49" x14ac:dyDescent="0.2">
      <c r="B73" s="70"/>
      <c r="C73" s="71"/>
      <c r="D73" s="72"/>
      <c r="E73" s="73"/>
      <c r="F73" s="74"/>
      <c r="G73" s="74"/>
      <c r="H73" s="74"/>
      <c r="I73" s="72"/>
      <c r="J73" s="72"/>
      <c r="K73" s="72"/>
      <c r="L73" s="74"/>
      <c r="M73" s="74"/>
      <c r="P73" s="77"/>
      <c r="Q73" s="77"/>
      <c r="S73" s="80"/>
      <c r="T73" s="77"/>
      <c r="AV73" s="77"/>
      <c r="AW73" s="77"/>
    </row>
    <row r="74" spans="2:49" x14ac:dyDescent="0.2">
      <c r="B74" s="70"/>
      <c r="C74" s="71"/>
      <c r="D74" s="72"/>
      <c r="E74" s="73"/>
      <c r="F74" s="74"/>
      <c r="G74" s="74"/>
      <c r="H74" s="74"/>
      <c r="I74" s="72"/>
      <c r="J74" s="72"/>
      <c r="K74" s="72"/>
      <c r="L74" s="74"/>
      <c r="M74" s="74"/>
      <c r="P74" s="77"/>
      <c r="Q74" s="77"/>
      <c r="S74" s="80"/>
      <c r="T74" s="77"/>
      <c r="AV74" s="77"/>
      <c r="AW74" s="77"/>
    </row>
    <row r="75" spans="2:49" x14ac:dyDescent="0.2">
      <c r="B75" s="70"/>
      <c r="C75" s="71"/>
      <c r="D75" s="72"/>
      <c r="E75" s="73"/>
      <c r="F75" s="74"/>
      <c r="G75" s="74"/>
      <c r="H75" s="74"/>
      <c r="I75" s="72"/>
      <c r="J75" s="72"/>
      <c r="K75" s="72"/>
      <c r="L75" s="74"/>
      <c r="M75" s="74"/>
      <c r="P75" s="77"/>
      <c r="Q75" s="77"/>
      <c r="S75" s="80"/>
      <c r="T75" s="77"/>
      <c r="AV75" s="77"/>
      <c r="AW75" s="77"/>
    </row>
    <row r="76" spans="2:49" x14ac:dyDescent="0.2">
      <c r="B76" s="70"/>
      <c r="C76" s="71"/>
      <c r="D76" s="72"/>
      <c r="E76" s="73"/>
      <c r="F76" s="74"/>
      <c r="G76" s="74"/>
      <c r="H76" s="74"/>
      <c r="I76" s="72"/>
      <c r="J76" s="72"/>
      <c r="K76" s="72"/>
      <c r="L76" s="74"/>
      <c r="M76" s="74"/>
      <c r="P76" s="77"/>
      <c r="Q76" s="77"/>
      <c r="S76" s="80"/>
      <c r="T76" s="77"/>
      <c r="AV76" s="77"/>
      <c r="AW76" s="77"/>
    </row>
    <row r="77" spans="2:49" x14ac:dyDescent="0.2">
      <c r="B77" s="70"/>
      <c r="C77" s="71"/>
      <c r="D77" s="72"/>
      <c r="E77" s="73"/>
      <c r="F77" s="74"/>
      <c r="G77" s="74"/>
      <c r="H77" s="74"/>
      <c r="I77" s="72"/>
      <c r="J77" s="72"/>
      <c r="K77" s="72"/>
      <c r="L77" s="74"/>
      <c r="M77" s="74"/>
      <c r="P77" s="77"/>
      <c r="Q77" s="77"/>
      <c r="S77" s="80"/>
      <c r="T77" s="77"/>
      <c r="AV77" s="77"/>
      <c r="AW77" s="77"/>
    </row>
    <row r="78" spans="2:49" x14ac:dyDescent="0.2">
      <c r="B78" s="70"/>
      <c r="C78" s="71"/>
      <c r="D78" s="72"/>
      <c r="E78" s="73"/>
      <c r="F78" s="74"/>
      <c r="G78" s="74"/>
      <c r="H78" s="74"/>
      <c r="I78" s="72"/>
      <c r="J78" s="72"/>
      <c r="K78" s="72"/>
      <c r="L78" s="74"/>
      <c r="M78" s="74"/>
      <c r="P78" s="77"/>
      <c r="Q78" s="77"/>
      <c r="S78" s="80"/>
      <c r="T78" s="77"/>
      <c r="AV78" s="77"/>
      <c r="AW78" s="77"/>
    </row>
    <row r="79" spans="2:49" x14ac:dyDescent="0.2">
      <c r="B79" s="70"/>
      <c r="C79" s="71"/>
      <c r="D79" s="72"/>
      <c r="E79" s="73"/>
      <c r="F79" s="74"/>
      <c r="G79" s="74"/>
      <c r="H79" s="74"/>
      <c r="I79" s="72"/>
      <c r="J79" s="72"/>
      <c r="K79" s="72"/>
      <c r="L79" s="74"/>
      <c r="M79" s="74"/>
      <c r="P79" s="77"/>
      <c r="Q79" s="77"/>
      <c r="S79" s="80"/>
      <c r="T79" s="77"/>
      <c r="AV79" s="77"/>
      <c r="AW79" s="77"/>
    </row>
    <row r="80" spans="2:49" x14ac:dyDescent="0.2">
      <c r="B80" s="70"/>
      <c r="C80" s="71"/>
      <c r="D80" s="72"/>
      <c r="E80" s="73"/>
      <c r="F80" s="74"/>
      <c r="G80" s="74"/>
      <c r="H80" s="74"/>
      <c r="I80" s="72"/>
      <c r="J80" s="72"/>
      <c r="K80" s="72"/>
      <c r="L80" s="74"/>
      <c r="M80" s="74"/>
      <c r="P80" s="77"/>
      <c r="Q80" s="77"/>
      <c r="S80" s="80"/>
      <c r="T80" s="77"/>
      <c r="AV80" s="77"/>
      <c r="AW80" s="77"/>
    </row>
    <row r="81" spans="2:49" x14ac:dyDescent="0.2">
      <c r="B81" s="70"/>
      <c r="C81" s="71"/>
      <c r="D81" s="72"/>
      <c r="E81" s="73"/>
      <c r="F81" s="74"/>
      <c r="G81" s="74"/>
      <c r="H81" s="74"/>
      <c r="I81" s="72"/>
      <c r="J81" s="72"/>
      <c r="K81" s="72"/>
      <c r="L81" s="74"/>
      <c r="M81" s="74"/>
      <c r="P81" s="77"/>
      <c r="Q81" s="77"/>
      <c r="S81" s="80"/>
      <c r="T81" s="77"/>
      <c r="AV81" s="77"/>
      <c r="AW81" s="77"/>
    </row>
    <row r="82" spans="2:49" x14ac:dyDescent="0.2">
      <c r="B82" s="70"/>
      <c r="C82" s="71"/>
      <c r="D82" s="72"/>
      <c r="E82" s="73"/>
      <c r="F82" s="74"/>
      <c r="G82" s="74"/>
      <c r="H82" s="74"/>
      <c r="I82" s="72"/>
      <c r="J82" s="72"/>
      <c r="K82" s="72"/>
      <c r="L82" s="74"/>
      <c r="M82" s="74"/>
      <c r="P82" s="77"/>
      <c r="Q82" s="77"/>
      <c r="S82" s="80"/>
      <c r="T82" s="77"/>
      <c r="AV82" s="77"/>
      <c r="AW82" s="77"/>
    </row>
  </sheetData>
  <autoFilter ref="A2:BA82" xr:uid="{00000000-0001-0000-0100-000000000000}"/>
  <conditionalFormatting sqref="G3:G82">
    <cfRule type="cellIs" dxfId="5" priority="1" operator="equal">
      <formula>"III"</formula>
    </cfRule>
    <cfRule type="cellIs" dxfId="4" priority="2" operator="equal">
      <formula>"I"</formula>
    </cfRule>
    <cfRule type="cellIs" dxfId="3" priority="3" operator="equal">
      <formula>"II"</formula>
    </cfRule>
  </conditionalFormatting>
  <conditionalFormatting sqref="M3:M82">
    <cfRule type="cellIs" dxfId="2" priority="7" operator="equal">
      <formula>"III"</formula>
    </cfRule>
    <cfRule type="cellIs" dxfId="1" priority="8" operator="equal">
      <formula>"I"</formula>
    </cfRule>
    <cfRule type="cellIs" dxfId="0" priority="9" operator="equal">
      <formula>"II"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57</vt:i4>
      </vt:variant>
    </vt:vector>
  </HeadingPairs>
  <TitlesOfParts>
    <vt:vector size="62" baseType="lpstr">
      <vt:lpstr>Klassningskalkyl</vt:lpstr>
      <vt:lpstr>Val</vt:lpstr>
      <vt:lpstr>Variabler</vt:lpstr>
      <vt:lpstr>Beräkning</vt:lpstr>
      <vt:lpstr>Jämförelse</vt:lpstr>
      <vt:lpstr>_185</vt:lpstr>
      <vt:lpstr>_195</vt:lpstr>
      <vt:lpstr>_205</vt:lpstr>
      <vt:lpstr>_215</vt:lpstr>
      <vt:lpstr>_225</vt:lpstr>
      <vt:lpstr>_235</vt:lpstr>
      <vt:lpstr>_245</vt:lpstr>
      <vt:lpstr>_255</vt:lpstr>
      <vt:lpstr>_265</vt:lpstr>
      <vt:lpstr>_275</vt:lpstr>
      <vt:lpstr>_285</vt:lpstr>
      <vt:lpstr>_295</vt:lpstr>
      <vt:lpstr>ABS</vt:lpstr>
      <vt:lpstr>Avdrag_mindre</vt:lpstr>
      <vt:lpstr>AWD</vt:lpstr>
      <vt:lpstr>BB</vt:lpstr>
      <vt:lpstr>BD</vt:lpstr>
      <vt:lpstr>BE</vt:lpstr>
      <vt:lpstr>BR</vt:lpstr>
      <vt:lpstr>Diesel</vt:lpstr>
      <vt:lpstr>Diffuser</vt:lpstr>
      <vt:lpstr>E85_</vt:lpstr>
      <vt:lpstr>Ej_diffbroms</vt:lpstr>
      <vt:lpstr>Ej_original_grenrör</vt:lpstr>
      <vt:lpstr>Fabriksbyggd_homologerad_motor</vt:lpstr>
      <vt:lpstr>FWD</vt:lpstr>
      <vt:lpstr>Förändrad_tändkurva</vt:lpstr>
      <vt:lpstr>kryss</vt:lpstr>
      <vt:lpstr>Monterad_katalysator</vt:lpstr>
      <vt:lpstr>Motoreffekt</vt:lpstr>
      <vt:lpstr>Ombyggd_IC</vt:lpstr>
      <vt:lpstr>Planad_topp__1mm</vt:lpstr>
      <vt:lpstr>Portad_topp</vt:lpstr>
      <vt:lpstr>Programmerbart_sprut_sugmotor</vt:lpstr>
      <vt:lpstr>Programmerbart_sprut_turbomotor</vt:lpstr>
      <vt:lpstr>Race</vt:lpstr>
      <vt:lpstr>RWD</vt:lpstr>
      <vt:lpstr>Rörramschassi</vt:lpstr>
      <vt:lpstr>Slätt_golv</vt:lpstr>
      <vt:lpstr>Snabbväxlingslåda</vt:lpstr>
      <vt:lpstr>Splitter</vt:lpstr>
      <vt:lpstr>Spoiler</vt:lpstr>
      <vt:lpstr>Spårvidd_ökad</vt:lpstr>
      <vt:lpstr>Standard</vt:lpstr>
      <vt:lpstr>Stel_bakaxel</vt:lpstr>
      <vt:lpstr>Större_halsring_spridare</vt:lpstr>
      <vt:lpstr>Tillägg_större</vt:lpstr>
      <vt:lpstr>Trimchip__fast_mapp__sugmotor</vt:lpstr>
      <vt:lpstr>Trimchip_turbomotor</vt:lpstr>
      <vt:lpstr>Tävlingseffekt</vt:lpstr>
      <vt:lpstr>Tävlingsvikt</vt:lpstr>
      <vt:lpstr>ViktI</vt:lpstr>
      <vt:lpstr>ViktII</vt:lpstr>
      <vt:lpstr>ViktIII</vt:lpstr>
      <vt:lpstr>Vinge</vt:lpstr>
      <vt:lpstr>x</vt:lpstr>
      <vt:lpstr>Ändrad_kamaxel_axlar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Atterhall, Stefan</dc:creator>
  <cp:lastModifiedBy>Martin Atterhall</cp:lastModifiedBy>
  <cp:lastPrinted>2026-04-24T05:55:15Z</cp:lastPrinted>
  <dcterms:created xsi:type="dcterms:W3CDTF">2022-10-17T19:30:22Z</dcterms:created>
  <dcterms:modified xsi:type="dcterms:W3CDTF">2026-04-24T07:51:48Z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b91ea28-dca1-4266-a4f7-ebceb983bddc_Enabled">
    <vt:lpwstr>true</vt:lpwstr>
  </property>
  <property fmtid="{D5CDD505-2E9C-101B-9397-08002B2CF9AE}" pid="3" name="MSIP_Label_cb91ea28-dca1-4266-a4f7-ebceb983bddc_SetDate">
    <vt:lpwstr>2022-10-18T00:53:24Z</vt:lpwstr>
  </property>
  <property fmtid="{D5CDD505-2E9C-101B-9397-08002B2CF9AE}" pid="4" name="MSIP_Label_cb91ea28-dca1-4266-a4f7-ebceb983bddc_Method">
    <vt:lpwstr>Privileged</vt:lpwstr>
  </property>
  <property fmtid="{D5CDD505-2E9C-101B-9397-08002B2CF9AE}" pid="5" name="MSIP_Label_cb91ea28-dca1-4266-a4f7-ebceb983bddc_Name">
    <vt:lpwstr>Public</vt:lpwstr>
  </property>
  <property fmtid="{D5CDD505-2E9C-101B-9397-08002B2CF9AE}" pid="6" name="MSIP_Label_cb91ea28-dca1-4266-a4f7-ebceb983bddc_SiteId">
    <vt:lpwstr>4cbfea0a-b872-47f0-b51c-1c64953c3f0b</vt:lpwstr>
  </property>
  <property fmtid="{D5CDD505-2E9C-101B-9397-08002B2CF9AE}" pid="7" name="MSIP_Label_cb91ea28-dca1-4266-a4f7-ebceb983bddc_ActionId">
    <vt:lpwstr>c415d3a1-274d-4cfb-80c2-edd811cd7229</vt:lpwstr>
  </property>
  <property fmtid="{D5CDD505-2E9C-101B-9397-08002B2CF9AE}" pid="8" name="MSIP_Label_cb91ea28-dca1-4266-a4f7-ebceb983bddc_ContentBits">
    <vt:lpwstr>0</vt:lpwstr>
  </property>
</Properties>
</file>